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saveExternalLinkValues="0" autoCompressPictures="0"/>
  <bookViews>
    <workbookView xWindow="0" yWindow="0" windowWidth="37200" windowHeight="15870" tabRatio="913"/>
  </bookViews>
  <sheets>
    <sheet name="Info" sheetId="2" r:id="rId1"/>
    <sheet name="Betrieb" sheetId="3" r:id="rId2"/>
    <sheet name="N_Bedarf" sheetId="9" r:id="rId3"/>
    <sheet name="Tiere" sheetId="4" r:id="rId4"/>
    <sheet name="Hofdung" sheetId="6" r:id="rId5"/>
    <sheet name="Tabelle1" sheetId="1" state="hidden" r:id="rId6"/>
    <sheet name="Organ__Dü" sheetId="5" r:id="rId7"/>
    <sheet name="Mineral" sheetId="7" r:id="rId8"/>
    <sheet name="Ergebnis" sheetId="10" r:id="rId9"/>
    <sheet name="Düngeplanung" sheetId="18" r:id="rId10"/>
    <sheet name="N_Berechnung" sheetId="8" r:id="rId11"/>
    <sheet name="System I" sheetId="11" r:id="rId12"/>
    <sheet name="Weideblatt" sheetId="12" r:id="rId13"/>
    <sheet name="Bodennah" sheetId="13" r:id="rId14"/>
    <sheet name="Pfl_Schutz" sheetId="14" r:id="rId15"/>
    <sheet name="Schw_Geflügel" sheetId="15" r:id="rId16"/>
    <sheet name="Tierzahlen" sheetId="16" r:id="rId17"/>
    <sheet name="Dü-Verbote" sheetId="20" r:id="rId18"/>
    <sheet name="Gütesiegel" sheetId="21" r:id="rId19"/>
  </sheets>
  <externalReferences>
    <externalReference r:id="rId20"/>
  </externalReferences>
  <definedNames>
    <definedName name="__xlnm.Print_Area" localSheetId="1">Betrieb!$A$1:$E$18</definedName>
    <definedName name="__xlnm.Print_Area" localSheetId="8">Ergebnis!$A$1:$F$55</definedName>
    <definedName name="__xlnm.Print_Area" localSheetId="4">Hofdung!$A$1:$P$34</definedName>
    <definedName name="__xlnm.Print_Area" localSheetId="0">Info!$A$1:$C$37</definedName>
    <definedName name="__xlnm.Print_Area" localSheetId="7">Mineral!$A$1:$J$50</definedName>
    <definedName name="__xlnm.Print_Area" localSheetId="2">N_Bedarf!$C$1:$R$31</definedName>
    <definedName name="__xlnm.Print_Area" localSheetId="6">Organ__Dü!$B$1:$N$27</definedName>
    <definedName name="__xlnm.Print_Area" localSheetId="14">Pfl_Schutz!$A$1:$F$36</definedName>
    <definedName name="__xlnm.Print_Area" localSheetId="15">Schw_Geflügel!$A$1:$D$103</definedName>
    <definedName name="__xlnm.Print_Area" localSheetId="11">'System I'!$A$1:$U$22</definedName>
    <definedName name="__xlnm.Print_Area" localSheetId="3">Tiere!$B$1:$X$35</definedName>
    <definedName name="__xlnm.Print_Area">Betrieb!$A$1:$E$23</definedName>
    <definedName name="__xlnm.Print_Area_1" localSheetId="12">#N/A</definedName>
    <definedName name="__xlnm.Print_Area_3">Ergebnis!$B$1:$F$51</definedName>
    <definedName name="__xlnm.Print_Area_5">Hofdung!$A$1:$P$34</definedName>
    <definedName name="__xlnm.Print_Area_6">Info!$A$1:$C$37</definedName>
    <definedName name="__xlnm.Print_Area_8">Mineral!$A$1:$J$50</definedName>
    <definedName name="__xlnm.Print_Area_9">N_Bedarf!$C$1:$R$32</definedName>
    <definedName name="Betriebskulturen">N_Bedarf!$B$5:$B$25</definedName>
    <definedName name="_xlnm.Print_Area" localSheetId="1">Betrieb!$A$1:$E$18</definedName>
    <definedName name="_xlnm.Print_Area" localSheetId="13">Bodennah!$A$1:$J$65</definedName>
    <definedName name="_xlnm.Print_Area" localSheetId="9">Düngeplanung!$B$2:$AK$29</definedName>
    <definedName name="_xlnm.Print_Area" localSheetId="17">'Dü-Verbote'!$A$1:$D$38</definedName>
    <definedName name="_xlnm.Print_Area" localSheetId="8">Ergebnis!$A$1:$F$55</definedName>
    <definedName name="_xlnm.Print_Area" localSheetId="18">Gütesiegel!$A$1:$X$63</definedName>
    <definedName name="_xlnm.Print_Area" localSheetId="4">Hofdung!$A$1:$P$34</definedName>
    <definedName name="_xlnm.Print_Area" localSheetId="0">Info!$A$1:$C$37</definedName>
    <definedName name="_xlnm.Print_Area" localSheetId="7">Mineral!$A$1:$J$50</definedName>
    <definedName name="_xlnm.Print_Area" localSheetId="2">N_Bedarf!$C$1:$R$31</definedName>
    <definedName name="_xlnm.Print_Area" localSheetId="6">Organ__Dü!$B$1:$N$27</definedName>
    <definedName name="_xlnm.Print_Area" localSheetId="14">Pfl_Schutz!$A$1:$F$36</definedName>
    <definedName name="_xlnm.Print_Area" localSheetId="15">Schw_Geflügel!$A$1:$D$103</definedName>
    <definedName name="_xlnm.Print_Area" localSheetId="11">'System I'!$A$1:$T$42</definedName>
    <definedName name="_xlnm.Print_Area" localSheetId="3">Tiere!$B$1:$X$35</definedName>
    <definedName name="_xlnm.Print_Area" localSheetId="16">Tierzahlen!$A$1:$G$60</definedName>
    <definedName name="_xlnm.Print_Area" localSheetId="12">Weideblatt!$A$1:$I$36</definedName>
    <definedName name="Liste_Ertrag" localSheetId="17">[1]N_Bedarf!$AK$29:$AK$35</definedName>
    <definedName name="Liste_Ertrag">N_Bedarf!$AM$29:$AM$35</definedName>
    <definedName name="Liste_GL_Kulturen" localSheetId="17">[1]N_Bedarf!$AM$49:$AM$65</definedName>
    <definedName name="Liste_GL_Kulturen">N_Bedarf!$AO$71:$AO$88</definedName>
    <definedName name="Liste_Grünland" localSheetId="17">[1]N_Bedarf!$AL$29:$AL$32</definedName>
    <definedName name="Liste_Grünland">N_Bedarf!$AN$29:$AN$31</definedName>
    <definedName name="Liste_ja" localSheetId="17">[1]Tabelle1!$AN$5:$AN$6</definedName>
    <definedName name="Liste_ja">Tabelle1!$AN$5:$AN$6</definedName>
    <definedName name="Liste_K_Bedarf" localSheetId="17">[1]N_Bedarf!$BE$5:$BK$66</definedName>
    <definedName name="Liste_K_Bedarf">N_Bedarf!$BG$5:$BM$88</definedName>
    <definedName name="Liste_Kulturen" localSheetId="17">[1]N_Bedarf!$AM$4:$AM$47</definedName>
    <definedName name="Liste_Kulturen">N_Bedarf!$AO$4:$AO$69</definedName>
    <definedName name="Liste_MD" localSheetId="17">[1]Tabelle1!$C$179:$C$224</definedName>
    <definedName name="Liste_MD">Tabelle1!$C$179:$C$224</definedName>
    <definedName name="Liste_N_Bedarf" localSheetId="17">[1]N_Bedarf!$AM$5:$AU$65</definedName>
    <definedName name="Liste_N_Bedarf">N_Bedarf!$AO$5:$AW$88</definedName>
    <definedName name="Liste_N_GL" localSheetId="17">[1]N_Bedarf!$AM$49:$AR$65</definedName>
    <definedName name="Liste_N_GL">N_Bedarf!$AO$71:$AT$88</definedName>
    <definedName name="Liste_OD" localSheetId="17">[1]Tabelle1!$C$165:$C$178</definedName>
    <definedName name="Liste_OD">Tabelle1!$C$165:$C$178</definedName>
    <definedName name="Liste_P_Bedarf" localSheetId="17">[1]N_Bedarf!$AX$3:$BC$66</definedName>
    <definedName name="Liste_P_Bedarf">N_Bedarf!$AZ$3:$BE$88</definedName>
    <definedName name="Liste_WD" localSheetId="17">[1]Tabelle1!$C$159:$C$164</definedName>
    <definedName name="Liste_WD">Tabelle1!$C$159:$C$164</definedName>
    <definedName name="Tierliste_neu" localSheetId="17">[1]Tabelle1!$B$5:$B$153</definedName>
    <definedName name="Tierliste_neu">Tabelle1!$B$5:$B$153</definedName>
  </definedNames>
  <calcPr calcId="145621" iterateDelta="1E-4"/>
  <extLst>
    <ext xmlns:mx="http://schemas.microsoft.com/office/mac/excel/2008/main" uri="{7523E5D3-25F3-A5E0-1632-64F254C22452}">
      <mx:ArchID Flags="2"/>
    </ext>
  </extLst>
</workbook>
</file>

<file path=xl/calcChain.xml><?xml version="1.0" encoding="utf-8"?>
<calcChain xmlns="http://schemas.openxmlformats.org/spreadsheetml/2006/main">
  <c r="AR88" i="9" l="1"/>
  <c r="AO16" i="1"/>
  <c r="AN15" i="1"/>
  <c r="AN16" i="1"/>
  <c r="AT72" i="9"/>
  <c r="AR72" i="9"/>
  <c r="AR76" i="9"/>
  <c r="AR77" i="9"/>
  <c r="AR78" i="9"/>
  <c r="AR79" i="9"/>
  <c r="AR80" i="9"/>
  <c r="AT82" i="9"/>
  <c r="AT85" i="9"/>
  <c r="AT87" i="9"/>
  <c r="AT73" i="9"/>
  <c r="AR73" i="9"/>
  <c r="AR74" i="9"/>
  <c r="AT75" i="9"/>
  <c r="AR75" i="9"/>
  <c r="AT76" i="9"/>
  <c r="AT77" i="9"/>
  <c r="AT78" i="9"/>
  <c r="AT80" i="9"/>
  <c r="AR81" i="9"/>
  <c r="AR83" i="9"/>
  <c r="AT86" i="9"/>
  <c r="AT88" i="9"/>
  <c r="AT74" i="9"/>
  <c r="AT79" i="9"/>
  <c r="AT81" i="9"/>
  <c r="AR82" i="9"/>
  <c r="AT83" i="9"/>
  <c r="AT84" i="9"/>
  <c r="AR85" i="9"/>
  <c r="AR86" i="9"/>
  <c r="AR87" i="9"/>
  <c r="AR71" i="9"/>
  <c r="AT71" i="9"/>
  <c r="AR84" i="9"/>
  <c r="AM21" i="9"/>
  <c r="AM22" i="9"/>
  <c r="AM23" i="9"/>
  <c r="AM24" i="9"/>
  <c r="AM25" i="9"/>
  <c r="AM20" i="9"/>
  <c r="T20" i="9" s="1"/>
  <c r="U20" i="9" s="1"/>
  <c r="AL21" i="9"/>
  <c r="K21" i="9" s="1"/>
  <c r="L21" i="9" s="1"/>
  <c r="AL22" i="9"/>
  <c r="K22" i="9" s="1"/>
  <c r="L22" i="9" s="1"/>
  <c r="AL23" i="9"/>
  <c r="K23" i="9" s="1"/>
  <c r="L23" i="9" s="1"/>
  <c r="AL24" i="9"/>
  <c r="AL25" i="9"/>
  <c r="AL20" i="9"/>
  <c r="AK25" i="9"/>
  <c r="AK21" i="9"/>
  <c r="AK22" i="9"/>
  <c r="H22" i="9" s="1"/>
  <c r="AK23" i="9"/>
  <c r="H23" i="9" s="1"/>
  <c r="AK24" i="9"/>
  <c r="H24" i="9" s="1"/>
  <c r="AK20" i="9"/>
  <c r="H20" i="9" s="1"/>
  <c r="B74" i="1"/>
  <c r="AL74" i="1"/>
  <c r="F2" i="10"/>
  <c r="A34" i="2"/>
  <c r="A32" i="2"/>
  <c r="A30" i="2"/>
  <c r="H21" i="9"/>
  <c r="E25" i="18" s="1"/>
  <c r="H25" i="9"/>
  <c r="E29" i="18" s="1"/>
  <c r="F4" i="10"/>
  <c r="F3" i="10"/>
  <c r="B29" i="18"/>
  <c r="F58" i="18"/>
  <c r="C29" i="18"/>
  <c r="L81" i="18"/>
  <c r="D29" i="18"/>
  <c r="L2" i="18"/>
  <c r="L32" i="18"/>
  <c r="T163" i="1"/>
  <c r="AC163" i="1"/>
  <c r="AJ163" i="1"/>
  <c r="C9" i="18"/>
  <c r="T61" i="18"/>
  <c r="C10" i="18"/>
  <c r="H62" i="18"/>
  <c r="C11" i="18"/>
  <c r="J63" i="18"/>
  <c r="C12" i="18"/>
  <c r="U64" i="18"/>
  <c r="C13" i="18"/>
  <c r="P65" i="18"/>
  <c r="C14" i="18"/>
  <c r="K66" i="18"/>
  <c r="C15" i="18"/>
  <c r="H67" i="18" s="1"/>
  <c r="C16" i="18"/>
  <c r="O68" i="18"/>
  <c r="C17" i="18"/>
  <c r="W69" i="18"/>
  <c r="C18" i="18"/>
  <c r="X70" i="18"/>
  <c r="C19" i="18"/>
  <c r="V71" i="18"/>
  <c r="C20" i="18"/>
  <c r="H72" i="18"/>
  <c r="C21" i="18"/>
  <c r="K73" i="18"/>
  <c r="C22" i="18"/>
  <c r="W74" i="18"/>
  <c r="C24" i="18"/>
  <c r="R76" i="18" s="1"/>
  <c r="C25" i="18"/>
  <c r="M77" i="18"/>
  <c r="C26" i="18"/>
  <c r="X78" i="18"/>
  <c r="C27" i="18"/>
  <c r="T79" i="18"/>
  <c r="C28" i="18"/>
  <c r="X80" i="18"/>
  <c r="T174" i="1"/>
  <c r="W174" i="1"/>
  <c r="T172" i="1"/>
  <c r="T171" i="1"/>
  <c r="W171" i="1"/>
  <c r="AA21" i="18"/>
  <c r="S33" i="18" s="1"/>
  <c r="T170" i="1"/>
  <c r="U170" i="1"/>
  <c r="T169" i="1"/>
  <c r="T168" i="1"/>
  <c r="AB168" i="1"/>
  <c r="T167" i="1"/>
  <c r="Z167" i="1"/>
  <c r="T166" i="1"/>
  <c r="W166" i="1"/>
  <c r="AA16" i="18"/>
  <c r="N33" i="18"/>
  <c r="T165" i="1"/>
  <c r="AE165" i="1"/>
  <c r="T160" i="1"/>
  <c r="AE160" i="1"/>
  <c r="T161" i="1"/>
  <c r="W161" i="1" s="1"/>
  <c r="T162" i="1"/>
  <c r="X162" i="1"/>
  <c r="AL5" i="9"/>
  <c r="K5" i="9"/>
  <c r="L5" i="9" s="1"/>
  <c r="AL6" i="9"/>
  <c r="K6" i="9" s="1"/>
  <c r="L6" i="9" s="1"/>
  <c r="AL7" i="9"/>
  <c r="K7" i="9" s="1"/>
  <c r="L7" i="9" s="1"/>
  <c r="AL8" i="9"/>
  <c r="K8" i="9" s="1"/>
  <c r="L8" i="9" s="1"/>
  <c r="AL9" i="9"/>
  <c r="K9" i="9" s="1"/>
  <c r="L9" i="9" s="1"/>
  <c r="AL10" i="9"/>
  <c r="K10" i="9"/>
  <c r="L10" i="9" s="1"/>
  <c r="AL11" i="9"/>
  <c r="K11" i="9" s="1"/>
  <c r="L11" i="9" s="1"/>
  <c r="AL12" i="9"/>
  <c r="K12" i="9" s="1"/>
  <c r="L12" i="9" s="1"/>
  <c r="AL13" i="9"/>
  <c r="K13" i="9"/>
  <c r="L13" i="9" s="1"/>
  <c r="AL14" i="9"/>
  <c r="K14" i="9" s="1"/>
  <c r="L14" i="9" s="1"/>
  <c r="AL15" i="9"/>
  <c r="K15" i="9" s="1"/>
  <c r="L15" i="9" s="1"/>
  <c r="AL16" i="9"/>
  <c r="K16" i="9"/>
  <c r="L16" i="9"/>
  <c r="AL17" i="9"/>
  <c r="K17" i="9"/>
  <c r="L17" i="9" s="1"/>
  <c r="AL18" i="9"/>
  <c r="K18" i="9" s="1"/>
  <c r="L18" i="9" s="1"/>
  <c r="K20" i="9"/>
  <c r="L20" i="9" s="1"/>
  <c r="K24" i="9"/>
  <c r="L24" i="9"/>
  <c r="P2" i="18"/>
  <c r="P32" i="18"/>
  <c r="Q2" i="18"/>
  <c r="Q32" i="18"/>
  <c r="R2" i="18"/>
  <c r="R32" i="18"/>
  <c r="S2" i="18"/>
  <c r="S32" i="18" s="1"/>
  <c r="T2" i="18"/>
  <c r="T32" i="18"/>
  <c r="U2" i="18"/>
  <c r="U32" i="18"/>
  <c r="T159" i="1"/>
  <c r="W159" i="1"/>
  <c r="E160" i="1"/>
  <c r="D179" i="1"/>
  <c r="E179" i="1"/>
  <c r="B21" i="6"/>
  <c r="C165" i="1"/>
  <c r="C159" i="1"/>
  <c r="D180" i="1"/>
  <c r="E180" i="1"/>
  <c r="T175" i="1"/>
  <c r="U175" i="1" s="1"/>
  <c r="V175" i="1" s="1"/>
  <c r="T176" i="1"/>
  <c r="W176" i="1"/>
  <c r="T177" i="1"/>
  <c r="C215" i="1"/>
  <c r="C216" i="1"/>
  <c r="C217" i="1"/>
  <c r="C160" i="1"/>
  <c r="B24" i="4"/>
  <c r="C161" i="1"/>
  <c r="D159" i="1"/>
  <c r="E159" i="1"/>
  <c r="AP5" i="1"/>
  <c r="DH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N45" i="1"/>
  <c r="R63" i="1"/>
  <c r="B46" i="1"/>
  <c r="B47" i="1"/>
  <c r="B48" i="1"/>
  <c r="B49" i="1"/>
  <c r="B50" i="1"/>
  <c r="B51" i="1"/>
  <c r="B52" i="1"/>
  <c r="B53" i="1"/>
  <c r="B54" i="1"/>
  <c r="B55" i="1"/>
  <c r="B56" i="1"/>
  <c r="B57" i="1"/>
  <c r="B58" i="1"/>
  <c r="B59" i="1"/>
  <c r="B60" i="1"/>
  <c r="B61" i="1"/>
  <c r="B62" i="1"/>
  <c r="B63" i="1"/>
  <c r="B64" i="1"/>
  <c r="B65" i="1"/>
  <c r="B66" i="1"/>
  <c r="B67" i="1"/>
  <c r="B68" i="1"/>
  <c r="B69" i="1"/>
  <c r="B70" i="1"/>
  <c r="B71" i="1"/>
  <c r="B72" i="1"/>
  <c r="B75" i="1"/>
  <c r="B76" i="1"/>
  <c r="B77" i="1"/>
  <c r="B78" i="1"/>
  <c r="B79" i="1"/>
  <c r="B80" i="1"/>
  <c r="B81" i="1"/>
  <c r="B82" i="1"/>
  <c r="B83" i="1"/>
  <c r="B85" i="1"/>
  <c r="B86" i="1"/>
  <c r="B87" i="1"/>
  <c r="B88" i="1"/>
  <c r="B89" i="1"/>
  <c r="B90" i="1"/>
  <c r="B91" i="1"/>
  <c r="B92" i="1"/>
  <c r="B93" i="1"/>
  <c r="B94" i="1"/>
  <c r="B95" i="1"/>
  <c r="B96" i="1"/>
  <c r="B98" i="1"/>
  <c r="B99" i="1"/>
  <c r="B100" i="1"/>
  <c r="B101" i="1"/>
  <c r="B102" i="1"/>
  <c r="B103" i="1"/>
  <c r="B104" i="1"/>
  <c r="B105" i="1"/>
  <c r="B106" i="1"/>
  <c r="B107" i="1"/>
  <c r="B108" i="1"/>
  <c r="B109" i="1"/>
  <c r="B110" i="1"/>
  <c r="B111" i="1"/>
  <c r="B112" i="1"/>
  <c r="B113"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AP6" i="1"/>
  <c r="AQ6" i="1"/>
  <c r="AP7" i="1"/>
  <c r="AP8" i="1"/>
  <c r="AQ8" i="1"/>
  <c r="C43" i="6"/>
  <c r="AP9" i="1"/>
  <c r="AQ9" i="1"/>
  <c r="BP9" i="1"/>
  <c r="BQ9" i="1"/>
  <c r="AP10" i="1"/>
  <c r="AQ10" i="1"/>
  <c r="BQ10" i="1"/>
  <c r="AP11" i="1"/>
  <c r="AQ11" i="1"/>
  <c r="AP12" i="1"/>
  <c r="AQ12" i="1"/>
  <c r="AP13" i="1"/>
  <c r="AQ13" i="1"/>
  <c r="AP14" i="1"/>
  <c r="AQ14" i="1"/>
  <c r="AP15" i="1"/>
  <c r="AQ15" i="1"/>
  <c r="AP16" i="1"/>
  <c r="AQ16" i="1"/>
  <c r="AP17" i="1"/>
  <c r="AP18" i="1"/>
  <c r="AQ18" i="1"/>
  <c r="BQ18" i="1"/>
  <c r="AP19" i="1"/>
  <c r="AQ19" i="1"/>
  <c r="AY23" i="1"/>
  <c r="BB23" i="1"/>
  <c r="AS23" i="1"/>
  <c r="AS28" i="1"/>
  <c r="E56" i="6"/>
  <c r="BP5" i="1"/>
  <c r="BQ5" i="1"/>
  <c r="BP6" i="1"/>
  <c r="BQ6" i="1"/>
  <c r="BP7" i="1"/>
  <c r="BQ7" i="1"/>
  <c r="BQ8" i="1"/>
  <c r="BQ11" i="1"/>
  <c r="BQ12" i="1"/>
  <c r="BQ13" i="1"/>
  <c r="BQ14" i="1"/>
  <c r="BQ15" i="1"/>
  <c r="BQ16" i="1"/>
  <c r="BQ17" i="1"/>
  <c r="BQ19" i="1"/>
  <c r="BR5" i="1"/>
  <c r="BS5" i="1"/>
  <c r="BR6" i="1"/>
  <c r="DB6" i="1"/>
  <c r="BS6" i="1"/>
  <c r="BR7" i="1"/>
  <c r="DB7" i="1"/>
  <c r="BS7" i="1"/>
  <c r="BS8" i="1"/>
  <c r="BS9" i="1"/>
  <c r="BS10" i="1"/>
  <c r="BS11" i="1"/>
  <c r="BS12" i="1"/>
  <c r="BS13" i="1"/>
  <c r="BS14" i="1"/>
  <c r="BS15" i="1"/>
  <c r="BS16" i="1"/>
  <c r="BS17" i="1"/>
  <c r="BS18" i="1"/>
  <c r="BS19" i="1"/>
  <c r="AY24" i="1"/>
  <c r="BB24" i="1"/>
  <c r="AT24" i="1"/>
  <c r="AT28" i="1" s="1"/>
  <c r="F56" i="6" s="1"/>
  <c r="AY25" i="1"/>
  <c r="BB25" i="1"/>
  <c r="AY26" i="1"/>
  <c r="BB26" i="1"/>
  <c r="BA26" i="1"/>
  <c r="BM26" i="1"/>
  <c r="AY27" i="1"/>
  <c r="BB27" i="1"/>
  <c r="AZ23" i="1"/>
  <c r="BD23" i="1"/>
  <c r="AZ24" i="1"/>
  <c r="AZ25" i="1"/>
  <c r="AZ26" i="1"/>
  <c r="AZ27" i="1"/>
  <c r="BA23" i="1"/>
  <c r="BJ23" i="1" s="1"/>
  <c r="BA24" i="1"/>
  <c r="BA25" i="1"/>
  <c r="BA27" i="1"/>
  <c r="L159" i="1"/>
  <c r="M159" i="1"/>
  <c r="D160" i="1"/>
  <c r="L160" i="1"/>
  <c r="D161" i="1"/>
  <c r="E161" i="1"/>
  <c r="N6" i="6"/>
  <c r="I6" i="6"/>
  <c r="K6" i="6"/>
  <c r="L161" i="1"/>
  <c r="C162" i="1"/>
  <c r="D162" i="1"/>
  <c r="E162" i="1"/>
  <c r="L162" i="1"/>
  <c r="C163" i="1"/>
  <c r="B27" i="4"/>
  <c r="D163" i="1"/>
  <c r="E163" i="1"/>
  <c r="K163" i="1"/>
  <c r="L163" i="1"/>
  <c r="C164" i="1"/>
  <c r="D164" i="1"/>
  <c r="E164" i="1"/>
  <c r="H18" i="6"/>
  <c r="I18" i="6"/>
  <c r="J18" i="6"/>
  <c r="BM48" i="1" s="1"/>
  <c r="BO48" i="1" s="1"/>
  <c r="K28" i="4" s="1"/>
  <c r="H164" i="1"/>
  <c r="N164" i="1" s="1"/>
  <c r="F164" i="1"/>
  <c r="G164" i="1"/>
  <c r="K18" i="6"/>
  <c r="I164" i="1"/>
  <c r="L18" i="6"/>
  <c r="J164" i="1"/>
  <c r="K164" i="1"/>
  <c r="L164" i="1"/>
  <c r="I4" i="5"/>
  <c r="F21" i="6"/>
  <c r="D165" i="1"/>
  <c r="E165" i="1"/>
  <c r="H21" i="6"/>
  <c r="F165" i="1"/>
  <c r="M4" i="5"/>
  <c r="J4" i="5"/>
  <c r="M58" i="5" s="1"/>
  <c r="K21" i="6"/>
  <c r="I165" i="1"/>
  <c r="L21" i="6"/>
  <c r="J165" i="1"/>
  <c r="N21" i="6"/>
  <c r="L165" i="1"/>
  <c r="M165" i="1"/>
  <c r="B22" i="6"/>
  <c r="C166" i="1"/>
  <c r="M166" i="1"/>
  <c r="B23" i="6"/>
  <c r="C167" i="1"/>
  <c r="M167" i="1"/>
  <c r="B24" i="6"/>
  <c r="C168" i="1"/>
  <c r="K24" i="6"/>
  <c r="I168" i="1"/>
  <c r="M168" i="1"/>
  <c r="B25" i="6"/>
  <c r="C169" i="1"/>
  <c r="I9" i="5"/>
  <c r="F25" i="6"/>
  <c r="D169" i="1"/>
  <c r="E169" i="1"/>
  <c r="H25" i="6"/>
  <c r="F169" i="1"/>
  <c r="J9" i="5"/>
  <c r="M82" i="5"/>
  <c r="U82" i="5"/>
  <c r="M9" i="5"/>
  <c r="M83" i="5"/>
  <c r="U83" i="5" s="1"/>
  <c r="M84" i="5"/>
  <c r="U84" i="5" s="1"/>
  <c r="V82" i="5"/>
  <c r="V84" i="5"/>
  <c r="K25" i="6"/>
  <c r="I169" i="1"/>
  <c r="L25" i="6"/>
  <c r="J169" i="1"/>
  <c r="W82" i="5"/>
  <c r="W84" i="5"/>
  <c r="N25" i="6"/>
  <c r="L169" i="1"/>
  <c r="M169" i="1"/>
  <c r="B26" i="6"/>
  <c r="C170" i="1"/>
  <c r="I10" i="5"/>
  <c r="F26" i="6"/>
  <c r="D170" i="1"/>
  <c r="E170" i="1" s="1"/>
  <c r="H26" i="6"/>
  <c r="F170" i="1" s="1"/>
  <c r="J10" i="5"/>
  <c r="M86" i="5"/>
  <c r="U86" i="5"/>
  <c r="M10" i="5"/>
  <c r="M87" i="5"/>
  <c r="U87" i="5" s="1"/>
  <c r="U89" i="5" s="1"/>
  <c r="I26" i="6" s="1"/>
  <c r="G170" i="1" s="1"/>
  <c r="M88" i="5"/>
  <c r="U88" i="5"/>
  <c r="V86" i="5"/>
  <c r="V87" i="5"/>
  <c r="V88" i="5"/>
  <c r="K26" i="6"/>
  <c r="I170" i="1"/>
  <c r="L26" i="6"/>
  <c r="J170" i="1"/>
  <c r="W86" i="5"/>
  <c r="W88" i="5"/>
  <c r="N26" i="6"/>
  <c r="L170" i="1"/>
  <c r="M170" i="1"/>
  <c r="B27" i="6"/>
  <c r="C171" i="1" s="1"/>
  <c r="I11" i="5"/>
  <c r="F27" i="6"/>
  <c r="D171" i="1"/>
  <c r="E171" i="1"/>
  <c r="H27" i="6"/>
  <c r="F171" i="1"/>
  <c r="J11" i="5"/>
  <c r="M90" i="5"/>
  <c r="U90" i="5"/>
  <c r="M11" i="5"/>
  <c r="M91" i="5"/>
  <c r="U91" i="5"/>
  <c r="M92" i="5"/>
  <c r="U92" i="5"/>
  <c r="V90" i="5"/>
  <c r="O91" i="5"/>
  <c r="V91" i="5"/>
  <c r="O92" i="5"/>
  <c r="W92" i="5" s="1"/>
  <c r="K27" i="6"/>
  <c r="I171" i="1"/>
  <c r="L27" i="6"/>
  <c r="J171" i="1"/>
  <c r="W90" i="5"/>
  <c r="W93" i="5" s="1"/>
  <c r="M27" i="6" s="1"/>
  <c r="K171" i="1" s="1"/>
  <c r="W91" i="5"/>
  <c r="N27" i="6"/>
  <c r="L171" i="1"/>
  <c r="M171" i="1"/>
  <c r="B28" i="6"/>
  <c r="C172" i="1"/>
  <c r="I13" i="5"/>
  <c r="F28" i="6"/>
  <c r="D172" i="1"/>
  <c r="E172" i="1"/>
  <c r="H28" i="6"/>
  <c r="F172" i="1"/>
  <c r="J13" i="5"/>
  <c r="M94" i="5" s="1"/>
  <c r="M13" i="5"/>
  <c r="M95" i="5"/>
  <c r="U95" i="5"/>
  <c r="M96" i="5"/>
  <c r="U96" i="5"/>
  <c r="M97" i="5"/>
  <c r="U97" i="5"/>
  <c r="M98" i="5"/>
  <c r="U98" i="5"/>
  <c r="M99" i="5"/>
  <c r="U99" i="5"/>
  <c r="M100" i="5"/>
  <c r="U100" i="5"/>
  <c r="M101" i="5"/>
  <c r="U101" i="5" s="1"/>
  <c r="V95" i="5"/>
  <c r="V96" i="5"/>
  <c r="V97" i="5"/>
  <c r="V98" i="5"/>
  <c r="V99" i="5"/>
  <c r="V100" i="5"/>
  <c r="K28" i="6"/>
  <c r="I172" i="1" s="1"/>
  <c r="L28" i="6"/>
  <c r="J172" i="1"/>
  <c r="W95" i="5"/>
  <c r="W96" i="5"/>
  <c r="W97" i="5"/>
  <c r="W98" i="5"/>
  <c r="W99" i="5"/>
  <c r="W100" i="5"/>
  <c r="N28" i="6"/>
  <c r="L172" i="1"/>
  <c r="M172" i="1"/>
  <c r="B29" i="6"/>
  <c r="C173" i="1"/>
  <c r="I14" i="5"/>
  <c r="F29" i="6"/>
  <c r="D173" i="1"/>
  <c r="E173" i="1"/>
  <c r="H29" i="6"/>
  <c r="F173" i="1"/>
  <c r="J14" i="5"/>
  <c r="M103" i="5"/>
  <c r="U103" i="5"/>
  <c r="M14" i="5"/>
  <c r="M104" i="5"/>
  <c r="U104" i="5"/>
  <c r="M105" i="5"/>
  <c r="U105" i="5" s="1"/>
  <c r="M106" i="5"/>
  <c r="U106" i="5"/>
  <c r="M107" i="5"/>
  <c r="U107" i="5"/>
  <c r="M108" i="5"/>
  <c r="V108" i="5" s="1"/>
  <c r="M109" i="5"/>
  <c r="U109" i="5"/>
  <c r="M110" i="5"/>
  <c r="U110" i="5"/>
  <c r="V103" i="5"/>
  <c r="V104" i="5"/>
  <c r="V106" i="5"/>
  <c r="V107" i="5"/>
  <c r="V109" i="5"/>
  <c r="V110" i="5"/>
  <c r="K29" i="6"/>
  <c r="I173" i="1"/>
  <c r="L29" i="6"/>
  <c r="J173" i="1"/>
  <c r="W103" i="5"/>
  <c r="W111" i="5" s="1"/>
  <c r="M29" i="6" s="1"/>
  <c r="K173" i="1" s="1"/>
  <c r="W104" i="5"/>
  <c r="W105" i="5"/>
  <c r="W106" i="5"/>
  <c r="W107" i="5"/>
  <c r="W108" i="5"/>
  <c r="W109" i="5"/>
  <c r="W110" i="5"/>
  <c r="N29" i="6"/>
  <c r="L173" i="1"/>
  <c r="M173" i="1"/>
  <c r="B30" i="6"/>
  <c r="C174" i="1"/>
  <c r="I15" i="5"/>
  <c r="F30" i="6"/>
  <c r="D174" i="1" s="1"/>
  <c r="E174" i="1" s="1"/>
  <c r="J15" i="5"/>
  <c r="M112" i="5"/>
  <c r="V112" i="5"/>
  <c r="M15" i="5"/>
  <c r="M113" i="5"/>
  <c r="V113" i="5"/>
  <c r="M114" i="5"/>
  <c r="V114" i="5"/>
  <c r="M115" i="5"/>
  <c r="V115" i="5"/>
  <c r="M116" i="5"/>
  <c r="V116" i="5"/>
  <c r="M117" i="5"/>
  <c r="V117" i="5"/>
  <c r="M118" i="5"/>
  <c r="V118" i="5" s="1"/>
  <c r="M119" i="5"/>
  <c r="V119" i="5"/>
  <c r="H30" i="6"/>
  <c r="F174" i="1"/>
  <c r="U112" i="5"/>
  <c r="U113" i="5"/>
  <c r="U114" i="5"/>
  <c r="U115" i="5"/>
  <c r="U116" i="5"/>
  <c r="U117" i="5"/>
  <c r="U120" i="5" s="1"/>
  <c r="I30" i="6" s="1"/>
  <c r="G174" i="1" s="1"/>
  <c r="U118" i="5"/>
  <c r="U119" i="5"/>
  <c r="K30" i="6"/>
  <c r="I174" i="1"/>
  <c r="L30" i="6"/>
  <c r="J174" i="1"/>
  <c r="W112" i="5"/>
  <c r="W113" i="5"/>
  <c r="W114" i="5"/>
  <c r="W115" i="5"/>
  <c r="W116" i="5"/>
  <c r="W117" i="5"/>
  <c r="W118" i="5"/>
  <c r="W120" i="5" s="1"/>
  <c r="M30" i="6" s="1"/>
  <c r="K174" i="1" s="1"/>
  <c r="W119" i="5"/>
  <c r="N30" i="6"/>
  <c r="L174" i="1"/>
  <c r="M174" i="1"/>
  <c r="B31" i="6"/>
  <c r="C175" i="1"/>
  <c r="I18" i="5"/>
  <c r="F31" i="6"/>
  <c r="D175" i="1"/>
  <c r="E175" i="1"/>
  <c r="N175" i="1" s="1"/>
  <c r="H31" i="6"/>
  <c r="I31" i="6"/>
  <c r="J31" i="6"/>
  <c r="H175" i="1" s="1"/>
  <c r="F175" i="1"/>
  <c r="G175" i="1"/>
  <c r="K31" i="6"/>
  <c r="I175" i="1"/>
  <c r="L31" i="6"/>
  <c r="J175" i="1"/>
  <c r="K175" i="1"/>
  <c r="L175" i="1"/>
  <c r="M175" i="1"/>
  <c r="B32" i="6"/>
  <c r="C176" i="1"/>
  <c r="I19" i="5"/>
  <c r="F32" i="6"/>
  <c r="D176" i="1"/>
  <c r="E176" i="1" s="1"/>
  <c r="L32" i="6"/>
  <c r="J176" i="1"/>
  <c r="H32" i="6"/>
  <c r="F176" i="1"/>
  <c r="I32" i="6"/>
  <c r="J32" i="6" s="1"/>
  <c r="H176" i="1" s="1"/>
  <c r="G176" i="1"/>
  <c r="K32" i="6"/>
  <c r="I176" i="1"/>
  <c r="K176" i="1"/>
  <c r="L176" i="1"/>
  <c r="M176" i="1"/>
  <c r="B33" i="6"/>
  <c r="C177" i="1"/>
  <c r="I20" i="5"/>
  <c r="F33" i="6"/>
  <c r="D177" i="1"/>
  <c r="E177" i="1"/>
  <c r="H33" i="6"/>
  <c r="F177" i="1"/>
  <c r="I33" i="6"/>
  <c r="G177" i="1"/>
  <c r="J33" i="6"/>
  <c r="H177" i="1"/>
  <c r="K33" i="6"/>
  <c r="I177" i="1"/>
  <c r="L33" i="6"/>
  <c r="J177" i="1"/>
  <c r="K177" i="1"/>
  <c r="L177" i="1"/>
  <c r="M177" i="1"/>
  <c r="K178" i="1"/>
  <c r="L178" i="1"/>
  <c r="M178" i="1"/>
  <c r="C179" i="1"/>
  <c r="H179" i="1"/>
  <c r="N179" i="1"/>
  <c r="I179" i="1"/>
  <c r="O179" i="1"/>
  <c r="J179" i="1"/>
  <c r="P179" i="1"/>
  <c r="C180" i="1"/>
  <c r="H180" i="1"/>
  <c r="I180" i="1"/>
  <c r="J180" i="1"/>
  <c r="C181" i="1"/>
  <c r="D181" i="1"/>
  <c r="E181" i="1"/>
  <c r="H181" i="1"/>
  <c r="F181" i="1"/>
  <c r="I181" i="1"/>
  <c r="J181" i="1"/>
  <c r="P181" i="1"/>
  <c r="N181" i="1"/>
  <c r="O181" i="1"/>
  <c r="C182" i="1"/>
  <c r="D182" i="1"/>
  <c r="H182" i="1"/>
  <c r="F182" i="1"/>
  <c r="I182" i="1"/>
  <c r="J182" i="1"/>
  <c r="C183" i="1"/>
  <c r="D183" i="1"/>
  <c r="E183" i="1"/>
  <c r="H183" i="1"/>
  <c r="F183" i="1"/>
  <c r="I183" i="1"/>
  <c r="J183" i="1"/>
  <c r="C184" i="1"/>
  <c r="D184" i="1"/>
  <c r="E184" i="1"/>
  <c r="H184" i="1"/>
  <c r="F184" i="1"/>
  <c r="I184" i="1"/>
  <c r="J184" i="1"/>
  <c r="C185" i="1"/>
  <c r="D185" i="1"/>
  <c r="E185" i="1"/>
  <c r="H185" i="1"/>
  <c r="F185" i="1"/>
  <c r="I185" i="1"/>
  <c r="J185" i="1"/>
  <c r="C186" i="1"/>
  <c r="D186" i="1"/>
  <c r="E186" i="1"/>
  <c r="H186" i="1"/>
  <c r="F186" i="1"/>
  <c r="I186" i="1"/>
  <c r="J186" i="1"/>
  <c r="C187" i="1"/>
  <c r="D187" i="1"/>
  <c r="E187" i="1"/>
  <c r="H187" i="1"/>
  <c r="F187" i="1"/>
  <c r="I187" i="1"/>
  <c r="O187" i="1"/>
  <c r="J187" i="1"/>
  <c r="P187" i="1"/>
  <c r="C188" i="1"/>
  <c r="D188" i="1"/>
  <c r="E188" i="1"/>
  <c r="H188" i="1"/>
  <c r="F188" i="1"/>
  <c r="I188" i="1"/>
  <c r="J188" i="1"/>
  <c r="C189" i="1"/>
  <c r="D189" i="1"/>
  <c r="E189" i="1"/>
  <c r="H189" i="1"/>
  <c r="F189" i="1"/>
  <c r="I189" i="1"/>
  <c r="O189" i="1"/>
  <c r="J189" i="1"/>
  <c r="C190" i="1"/>
  <c r="D190" i="1"/>
  <c r="H190" i="1"/>
  <c r="N190" i="1"/>
  <c r="F190" i="1"/>
  <c r="I190" i="1"/>
  <c r="J190" i="1"/>
  <c r="C191" i="1"/>
  <c r="D191" i="1"/>
  <c r="E191" i="1"/>
  <c r="H191" i="1"/>
  <c r="F191" i="1" s="1"/>
  <c r="I191" i="1"/>
  <c r="J191" i="1"/>
  <c r="C192" i="1"/>
  <c r="D192" i="1"/>
  <c r="E192" i="1"/>
  <c r="H192" i="1"/>
  <c r="F192" i="1"/>
  <c r="I192" i="1"/>
  <c r="J192" i="1"/>
  <c r="C193" i="1"/>
  <c r="D193" i="1"/>
  <c r="E193" i="1"/>
  <c r="H193" i="1"/>
  <c r="F193" i="1"/>
  <c r="I193" i="1"/>
  <c r="O193" i="1" s="1"/>
  <c r="J193" i="1"/>
  <c r="C194" i="1"/>
  <c r="D194" i="1"/>
  <c r="E194" i="1"/>
  <c r="H194" i="1"/>
  <c r="F194" i="1"/>
  <c r="I194" i="1"/>
  <c r="J194" i="1"/>
  <c r="C195" i="1"/>
  <c r="D195" i="1"/>
  <c r="E195" i="1"/>
  <c r="H195" i="1"/>
  <c r="F195" i="1"/>
  <c r="I195" i="1"/>
  <c r="J195" i="1"/>
  <c r="C196" i="1"/>
  <c r="D196" i="1"/>
  <c r="H196" i="1"/>
  <c r="N196" i="1"/>
  <c r="I196" i="1"/>
  <c r="J196" i="1"/>
  <c r="C197" i="1"/>
  <c r="D197" i="1"/>
  <c r="H197" i="1"/>
  <c r="F197" i="1"/>
  <c r="G197" i="1"/>
  <c r="I197" i="1"/>
  <c r="J197" i="1"/>
  <c r="C198" i="1"/>
  <c r="D198" i="1"/>
  <c r="E198" i="1"/>
  <c r="H198" i="1"/>
  <c r="F198" i="1"/>
  <c r="I198" i="1"/>
  <c r="J198" i="1"/>
  <c r="N198" i="1"/>
  <c r="C199" i="1"/>
  <c r="D199" i="1"/>
  <c r="E199" i="1"/>
  <c r="H199" i="1"/>
  <c r="F199" i="1"/>
  <c r="I199" i="1"/>
  <c r="J199" i="1"/>
  <c r="O199" i="1"/>
  <c r="C200" i="1"/>
  <c r="D200" i="1"/>
  <c r="H200" i="1"/>
  <c r="N200" i="1" s="1"/>
  <c r="I200" i="1"/>
  <c r="J200" i="1"/>
  <c r="C201" i="1"/>
  <c r="D201" i="1"/>
  <c r="E201" i="1"/>
  <c r="H201" i="1"/>
  <c r="F201" i="1"/>
  <c r="I201" i="1"/>
  <c r="O201" i="1"/>
  <c r="J201" i="1"/>
  <c r="C202" i="1"/>
  <c r="D202" i="1"/>
  <c r="E202" i="1"/>
  <c r="H202" i="1"/>
  <c r="F202" i="1" s="1"/>
  <c r="I202" i="1"/>
  <c r="J202" i="1"/>
  <c r="C203" i="1"/>
  <c r="D203" i="1"/>
  <c r="J203" i="1"/>
  <c r="P203" i="1"/>
  <c r="H203" i="1"/>
  <c r="F203" i="1"/>
  <c r="I203" i="1"/>
  <c r="C204" i="1"/>
  <c r="D204" i="1"/>
  <c r="E204" i="1"/>
  <c r="H204" i="1"/>
  <c r="F204" i="1"/>
  <c r="I204" i="1"/>
  <c r="J204" i="1"/>
  <c r="N204" i="1"/>
  <c r="C205" i="1"/>
  <c r="D205" i="1"/>
  <c r="J205" i="1"/>
  <c r="P205" i="1"/>
  <c r="H205" i="1"/>
  <c r="F205" i="1"/>
  <c r="I205" i="1"/>
  <c r="C206" i="1"/>
  <c r="D206" i="1"/>
  <c r="E206" i="1"/>
  <c r="H206" i="1"/>
  <c r="F206" i="1"/>
  <c r="I206" i="1"/>
  <c r="J206" i="1"/>
  <c r="N206" i="1"/>
  <c r="C207" i="1"/>
  <c r="D207" i="1"/>
  <c r="E207" i="1"/>
  <c r="H207" i="1"/>
  <c r="F207" i="1"/>
  <c r="I207" i="1"/>
  <c r="O207" i="1"/>
  <c r="J207" i="1"/>
  <c r="C208" i="1"/>
  <c r="D208" i="1"/>
  <c r="H208" i="1"/>
  <c r="N208" i="1"/>
  <c r="E208" i="1"/>
  <c r="F208" i="1"/>
  <c r="I208" i="1"/>
  <c r="J208" i="1"/>
  <c r="C209" i="1"/>
  <c r="D209" i="1"/>
  <c r="E209" i="1"/>
  <c r="H209" i="1"/>
  <c r="F209" i="1"/>
  <c r="I209" i="1"/>
  <c r="J209" i="1"/>
  <c r="O209" i="1"/>
  <c r="C210" i="1"/>
  <c r="D210" i="1"/>
  <c r="H210" i="1"/>
  <c r="N210" i="1"/>
  <c r="E210" i="1"/>
  <c r="F210" i="1"/>
  <c r="I210" i="1"/>
  <c r="J210" i="1"/>
  <c r="C211" i="1"/>
  <c r="D211" i="1"/>
  <c r="J211" i="1"/>
  <c r="P211" i="1"/>
  <c r="H211" i="1"/>
  <c r="F211" i="1"/>
  <c r="I211" i="1"/>
  <c r="O211" i="1"/>
  <c r="C212" i="1"/>
  <c r="D212" i="1"/>
  <c r="E212" i="1"/>
  <c r="H212" i="1"/>
  <c r="F212" i="1"/>
  <c r="I212" i="1"/>
  <c r="J212" i="1"/>
  <c r="K212" i="1"/>
  <c r="C213" i="1"/>
  <c r="D213" i="1"/>
  <c r="E213" i="1"/>
  <c r="H213" i="1"/>
  <c r="F213" i="1"/>
  <c r="I213" i="1"/>
  <c r="J213" i="1"/>
  <c r="K213" i="1"/>
  <c r="C214" i="1"/>
  <c r="D214" i="1"/>
  <c r="H214" i="1"/>
  <c r="F214" i="1"/>
  <c r="I214" i="1"/>
  <c r="J214" i="1"/>
  <c r="K214" i="1"/>
  <c r="D215" i="1"/>
  <c r="E215" i="1"/>
  <c r="H215" i="1"/>
  <c r="F215" i="1"/>
  <c r="G215" i="1"/>
  <c r="I215" i="1"/>
  <c r="O215" i="1"/>
  <c r="J215" i="1"/>
  <c r="K215" i="1"/>
  <c r="N215" i="1"/>
  <c r="D216" i="1"/>
  <c r="H216" i="1"/>
  <c r="F216" i="1"/>
  <c r="I216" i="1"/>
  <c r="J216" i="1"/>
  <c r="K216" i="1"/>
  <c r="D217" i="1"/>
  <c r="E217" i="1"/>
  <c r="H217" i="1"/>
  <c r="F217" i="1"/>
  <c r="I217" i="1"/>
  <c r="J217" i="1"/>
  <c r="K217" i="1"/>
  <c r="N217" i="1"/>
  <c r="O217" i="1"/>
  <c r="P217" i="1"/>
  <c r="C218" i="1"/>
  <c r="D218" i="1"/>
  <c r="E218" i="1"/>
  <c r="H218" i="1"/>
  <c r="F218" i="1"/>
  <c r="I218" i="1"/>
  <c r="J218" i="1"/>
  <c r="K218" i="1"/>
  <c r="C219" i="1"/>
  <c r="D219" i="1"/>
  <c r="E219" i="1"/>
  <c r="H219" i="1"/>
  <c r="F219" i="1"/>
  <c r="I219" i="1"/>
  <c r="J219" i="1"/>
  <c r="K219" i="1"/>
  <c r="N219" i="1"/>
  <c r="O219" i="1"/>
  <c r="P219" i="1"/>
  <c r="C220" i="1"/>
  <c r="Q220" i="1"/>
  <c r="B45" i="7" s="1"/>
  <c r="D220" i="1"/>
  <c r="H220" i="1"/>
  <c r="F220" i="1"/>
  <c r="I220" i="1"/>
  <c r="J220" i="1"/>
  <c r="K220" i="1"/>
  <c r="C221" i="1"/>
  <c r="D221" i="1"/>
  <c r="E221" i="1"/>
  <c r="H221" i="1"/>
  <c r="F221" i="1"/>
  <c r="I221" i="1"/>
  <c r="O221" i="1"/>
  <c r="J221" i="1"/>
  <c r="P221" i="1"/>
  <c r="K221" i="1"/>
  <c r="C222" i="1"/>
  <c r="D222" i="1"/>
  <c r="E222" i="1"/>
  <c r="H222" i="1"/>
  <c r="F222" i="1"/>
  <c r="G222" i="1"/>
  <c r="I222" i="1"/>
  <c r="J222" i="1"/>
  <c r="K222" i="1"/>
  <c r="C223" i="1"/>
  <c r="D223" i="1"/>
  <c r="E223" i="1"/>
  <c r="H223" i="1"/>
  <c r="F223" i="1"/>
  <c r="I223" i="1"/>
  <c r="J223" i="1"/>
  <c r="K223" i="1"/>
  <c r="C224" i="1"/>
  <c r="D224" i="1"/>
  <c r="E224" i="1"/>
  <c r="H224" i="1"/>
  <c r="G224" i="1"/>
  <c r="I224" i="1"/>
  <c r="J224" i="1"/>
  <c r="K224" i="1"/>
  <c r="R59" i="5"/>
  <c r="Y58" i="5"/>
  <c r="S59" i="5"/>
  <c r="AK6" i="9"/>
  <c r="H6" i="9" s="1"/>
  <c r="AK7" i="9"/>
  <c r="H7" i="9" s="1"/>
  <c r="AK8" i="9"/>
  <c r="H8" i="9" s="1"/>
  <c r="AK9" i="9"/>
  <c r="H9" i="9" s="1"/>
  <c r="AK10" i="9"/>
  <c r="H10" i="9"/>
  <c r="I10" i="9" s="1"/>
  <c r="AK11" i="9"/>
  <c r="H11" i="9"/>
  <c r="I11" i="9" s="1"/>
  <c r="AK12" i="9"/>
  <c r="H12" i="9" s="1"/>
  <c r="AK13" i="9"/>
  <c r="H13" i="9" s="1"/>
  <c r="AK14" i="9"/>
  <c r="H14" i="9" s="1"/>
  <c r="AK15" i="9"/>
  <c r="H15" i="9" s="1"/>
  <c r="AK16" i="9"/>
  <c r="H16" i="9" s="1"/>
  <c r="AK17" i="9"/>
  <c r="H17" i="9" s="1"/>
  <c r="AK18" i="9"/>
  <c r="H18" i="9"/>
  <c r="E22" i="18" s="1"/>
  <c r="AK5" i="9"/>
  <c r="H5" i="9"/>
  <c r="E31" i="10" s="1"/>
  <c r="D24" i="18"/>
  <c r="D25" i="18"/>
  <c r="D26" i="18"/>
  <c r="D27" i="18"/>
  <c r="D28" i="18"/>
  <c r="D9" i="18"/>
  <c r="D10" i="18"/>
  <c r="D11" i="18"/>
  <c r="D12" i="18"/>
  <c r="D13" i="18"/>
  <c r="D14" i="18"/>
  <c r="D15" i="18"/>
  <c r="D16" i="18"/>
  <c r="D17" i="18"/>
  <c r="D18" i="18"/>
  <c r="D19" i="18"/>
  <c r="D20" i="18"/>
  <c r="D21" i="18"/>
  <c r="D22" i="18"/>
  <c r="B10" i="18"/>
  <c r="F39" i="18"/>
  <c r="B11" i="18"/>
  <c r="F40" i="18"/>
  <c r="B12" i="18"/>
  <c r="F41" i="18" s="1"/>
  <c r="B13" i="18"/>
  <c r="F42" i="18"/>
  <c r="B14" i="18"/>
  <c r="F43" i="18"/>
  <c r="B15" i="18"/>
  <c r="Z93" i="18"/>
  <c r="B16" i="18"/>
  <c r="G68" i="18"/>
  <c r="B17" i="18"/>
  <c r="Z95" i="18"/>
  <c r="B18" i="18"/>
  <c r="F47" i="18"/>
  <c r="B19" i="18"/>
  <c r="G71" i="18"/>
  <c r="B20" i="18"/>
  <c r="G72" i="18" s="1"/>
  <c r="B21" i="18"/>
  <c r="F50" i="18"/>
  <c r="B22" i="18"/>
  <c r="Z100" i="18"/>
  <c r="B24" i="18"/>
  <c r="Z102" i="18"/>
  <c r="B25" i="18"/>
  <c r="Z103" i="18"/>
  <c r="B26" i="18"/>
  <c r="G78" i="18"/>
  <c r="B27" i="18"/>
  <c r="Z105" i="18"/>
  <c r="B28" i="18"/>
  <c r="F57" i="18"/>
  <c r="B9" i="18"/>
  <c r="Z87" i="18" s="1"/>
  <c r="E6" i="18"/>
  <c r="B6" i="18"/>
  <c r="Z101" i="18"/>
  <c r="F107" i="18"/>
  <c r="F106" i="18"/>
  <c r="F105" i="18"/>
  <c r="F104" i="18"/>
  <c r="F103" i="18"/>
  <c r="F102" i="18"/>
  <c r="F100" i="18"/>
  <c r="F99" i="18"/>
  <c r="F98" i="18"/>
  <c r="F97" i="18"/>
  <c r="F96" i="18"/>
  <c r="F95" i="18"/>
  <c r="F94" i="18"/>
  <c r="F93" i="18"/>
  <c r="F92" i="18"/>
  <c r="F91" i="18"/>
  <c r="F90" i="18"/>
  <c r="F89" i="18"/>
  <c r="F88" i="18"/>
  <c r="F87" i="18"/>
  <c r="BP8" i="1"/>
  <c r="BR8" i="1"/>
  <c r="N2" i="18"/>
  <c r="N32" i="18"/>
  <c r="O2" i="18"/>
  <c r="O32" i="18"/>
  <c r="H2" i="18"/>
  <c r="H32" i="18"/>
  <c r="I2" i="18"/>
  <c r="I32" i="18"/>
  <c r="J2" i="18"/>
  <c r="J32" i="18"/>
  <c r="K2" i="18"/>
  <c r="K32" i="18"/>
  <c r="V2" i="18"/>
  <c r="V32" i="18"/>
  <c r="W2" i="18"/>
  <c r="W32" i="18"/>
  <c r="X2" i="18"/>
  <c r="X32" i="18"/>
  <c r="M2" i="18"/>
  <c r="M32" i="18"/>
  <c r="E5" i="18"/>
  <c r="R58" i="5"/>
  <c r="S58" i="5" s="1"/>
  <c r="Y60" i="5"/>
  <c r="R82" i="5"/>
  <c r="S82" i="5"/>
  <c r="R94" i="5"/>
  <c r="S94" i="5"/>
  <c r="AJ164" i="1"/>
  <c r="AJ159" i="1"/>
  <c r="AJ160" i="1"/>
  <c r="AJ161" i="1"/>
  <c r="AJ162" i="1"/>
  <c r="AJ173" i="1"/>
  <c r="AJ174" i="1"/>
  <c r="AJ175" i="1"/>
  <c r="AJ176" i="1"/>
  <c r="AJ177" i="1"/>
  <c r="C4" i="18"/>
  <c r="DD6" i="1"/>
  <c r="E14" i="3"/>
  <c r="DE21" i="1"/>
  <c r="B2" i="13"/>
  <c r="D4" i="13"/>
  <c r="D2" i="13"/>
  <c r="H2" i="13"/>
  <c r="H3" i="13"/>
  <c r="H4" i="13"/>
  <c r="I4" i="13"/>
  <c r="J12" i="13"/>
  <c r="J13" i="13"/>
  <c r="J14" i="13"/>
  <c r="J15" i="13"/>
  <c r="J16" i="13"/>
  <c r="J10" i="13" s="1"/>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B2" i="10"/>
  <c r="B3" i="10"/>
  <c r="B4" i="10"/>
  <c r="BE43" i="1"/>
  <c r="BE44" i="1"/>
  <c r="BE45" i="1"/>
  <c r="BE46" i="1"/>
  <c r="BE47" i="1"/>
  <c r="BE48" i="1"/>
  <c r="BF48" i="1"/>
  <c r="BI48" i="1"/>
  <c r="C21" i="6"/>
  <c r="M5" i="5"/>
  <c r="O68" i="5"/>
  <c r="M6" i="5"/>
  <c r="M71" i="5"/>
  <c r="M7" i="5"/>
  <c r="M77" i="5"/>
  <c r="K82" i="5"/>
  <c r="K86" i="5"/>
  <c r="K87" i="5"/>
  <c r="K90" i="5"/>
  <c r="K91" i="5"/>
  <c r="J5" i="5"/>
  <c r="J6" i="5"/>
  <c r="J7" i="5"/>
  <c r="M78" i="5"/>
  <c r="V78" i="5"/>
  <c r="M80" i="5"/>
  <c r="K80" i="5" s="1"/>
  <c r="AX52" i="1"/>
  <c r="K98" i="5"/>
  <c r="K107" i="5"/>
  <c r="K116" i="5"/>
  <c r="C125" i="5"/>
  <c r="AQ53" i="1" s="1"/>
  <c r="K100" i="5"/>
  <c r="K103" i="5"/>
  <c r="K109" i="5"/>
  <c r="K112" i="5"/>
  <c r="K118" i="5"/>
  <c r="K99" i="5"/>
  <c r="K108" i="5"/>
  <c r="E125" i="5" s="1"/>
  <c r="AS53" i="1" s="1"/>
  <c r="K117" i="5"/>
  <c r="K110" i="5"/>
  <c r="K119" i="5"/>
  <c r="K97" i="5"/>
  <c r="K106" i="5"/>
  <c r="G125" i="5" s="1"/>
  <c r="AU53" i="1" s="1"/>
  <c r="F9" i="8" s="1"/>
  <c r="K115" i="5"/>
  <c r="K96" i="5"/>
  <c r="K114" i="5"/>
  <c r="K95" i="5"/>
  <c r="K104" i="5"/>
  <c r="K113" i="5"/>
  <c r="I125" i="5"/>
  <c r="AW53" i="1"/>
  <c r="AW54" i="1"/>
  <c r="AW61" i="1"/>
  <c r="J18" i="5"/>
  <c r="J19" i="5"/>
  <c r="C32" i="6" s="1"/>
  <c r="J20" i="5"/>
  <c r="K84" i="5"/>
  <c r="G124" i="5" s="1"/>
  <c r="K88" i="5"/>
  <c r="K92" i="5"/>
  <c r="J21" i="5"/>
  <c r="I25" i="5"/>
  <c r="I126" i="5"/>
  <c r="I26" i="5" s="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AQ50" i="1"/>
  <c r="B6" i="8"/>
  <c r="BL48" i="1"/>
  <c r="BN48" i="1"/>
  <c r="J28" i="4"/>
  <c r="R5" i="9"/>
  <c r="R6" i="9"/>
  <c r="R8" i="9"/>
  <c r="R10" i="9"/>
  <c r="R12" i="9"/>
  <c r="R11" i="9"/>
  <c r="R15" i="9"/>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I5" i="5"/>
  <c r="F22" i="6"/>
  <c r="D166" i="1" s="1"/>
  <c r="E166" i="1" s="1"/>
  <c r="K22" i="6"/>
  <c r="I166" i="1"/>
  <c r="I6" i="5"/>
  <c r="F23" i="6"/>
  <c r="D167" i="1"/>
  <c r="E167" i="1" s="1"/>
  <c r="K23" i="6"/>
  <c r="I167" i="1"/>
  <c r="I7" i="5"/>
  <c r="F24" i="6"/>
  <c r="D168" i="1" s="1"/>
  <c r="E168" i="1" s="1"/>
  <c r="I21" i="5"/>
  <c r="F34" i="6"/>
  <c r="D178" i="1" s="1"/>
  <c r="E178" i="1" s="1"/>
  <c r="O178" i="1" s="1"/>
  <c r="K34" i="6"/>
  <c r="I178" i="1"/>
  <c r="BG48" i="1"/>
  <c r="BJ48" i="1"/>
  <c r="L28" i="4"/>
  <c r="K25" i="9"/>
  <c r="L25" i="9" s="1"/>
  <c r="AO14" i="1"/>
  <c r="B26" i="10"/>
  <c r="B31" i="10"/>
  <c r="C31" i="10"/>
  <c r="D31" i="10"/>
  <c r="B32" i="10"/>
  <c r="C32" i="10"/>
  <c r="D32" i="10"/>
  <c r="B33" i="10"/>
  <c r="C33" i="10"/>
  <c r="D33" i="10"/>
  <c r="B34" i="10"/>
  <c r="C34" i="10"/>
  <c r="D34" i="10"/>
  <c r="B35" i="10"/>
  <c r="C35" i="10"/>
  <c r="D35" i="10"/>
  <c r="B36" i="10"/>
  <c r="C36" i="10"/>
  <c r="D36" i="10"/>
  <c r="B37" i="10"/>
  <c r="C37" i="10"/>
  <c r="D37" i="10"/>
  <c r="B38" i="10"/>
  <c r="C38" i="10"/>
  <c r="D38" i="10"/>
  <c r="B39" i="10"/>
  <c r="C39" i="10"/>
  <c r="D39" i="10"/>
  <c r="B40" i="10"/>
  <c r="C40" i="10"/>
  <c r="D40" i="10"/>
  <c r="B41" i="10"/>
  <c r="C41" i="10"/>
  <c r="D41" i="10"/>
  <c r="B42" i="10"/>
  <c r="C42" i="10"/>
  <c r="D42" i="10"/>
  <c r="B43" i="10"/>
  <c r="C43" i="10"/>
  <c r="D43" i="10"/>
  <c r="B44" i="10"/>
  <c r="C44" i="10"/>
  <c r="D44" i="10"/>
  <c r="B45" i="10"/>
  <c r="C45" i="10"/>
  <c r="B46" i="10"/>
  <c r="C46" i="10"/>
  <c r="D46" i="10"/>
  <c r="B47" i="10"/>
  <c r="C47" i="10"/>
  <c r="D47" i="10"/>
  <c r="B48" i="10"/>
  <c r="C48" i="10"/>
  <c r="D48" i="10"/>
  <c r="B49" i="10"/>
  <c r="C49" i="10"/>
  <c r="D49" i="10"/>
  <c r="B50" i="10"/>
  <c r="C50" i="10"/>
  <c r="D50" i="10"/>
  <c r="B51" i="10"/>
  <c r="C51" i="10"/>
  <c r="D51" i="10"/>
  <c r="N4" i="6"/>
  <c r="G4" i="6"/>
  <c r="K4" i="6"/>
  <c r="AA4" i="6"/>
  <c r="N5" i="6"/>
  <c r="H5" i="6" s="1"/>
  <c r="K5" i="6" s="1"/>
  <c r="AA6" i="6"/>
  <c r="N7" i="6"/>
  <c r="J7" i="6"/>
  <c r="K7" i="6" s="1"/>
  <c r="AA7" i="6"/>
  <c r="N8" i="6"/>
  <c r="F8" i="6"/>
  <c r="K8" i="6"/>
  <c r="AA8" i="6"/>
  <c r="N9" i="6"/>
  <c r="F9" i="6"/>
  <c r="K9" i="6" s="1"/>
  <c r="AA9" i="6"/>
  <c r="AB21" i="6"/>
  <c r="AE21" i="6"/>
  <c r="AF21" i="6"/>
  <c r="AD23" i="6"/>
  <c r="AH21" i="6"/>
  <c r="AK21" i="6"/>
  <c r="AL21" i="6"/>
  <c r="AJ23" i="6"/>
  <c r="AJ24" i="6"/>
  <c r="AJ25" i="6"/>
  <c r="AJ26" i="6"/>
  <c r="AJ27" i="6"/>
  <c r="AJ28" i="6"/>
  <c r="AN21" i="6"/>
  <c r="AQ21" i="6"/>
  <c r="AR21" i="6"/>
  <c r="AP23" i="6"/>
  <c r="AT21" i="6"/>
  <c r="AW21" i="6"/>
  <c r="AX21" i="6"/>
  <c r="AV23" i="6"/>
  <c r="AV24" i="6"/>
  <c r="AV25" i="6"/>
  <c r="AV26" i="6"/>
  <c r="AV27" i="6"/>
  <c r="AV28" i="6"/>
  <c r="P17" i="6"/>
  <c r="AC34" i="6"/>
  <c r="D18" i="6" s="1"/>
  <c r="P18" i="6"/>
  <c r="K4" i="5"/>
  <c r="D21" i="6"/>
  <c r="L4" i="5"/>
  <c r="R61" i="5"/>
  <c r="S61" i="5"/>
  <c r="R62" i="5"/>
  <c r="Y61" i="5"/>
  <c r="S62" i="5"/>
  <c r="AC21" i="6"/>
  <c r="AD21" i="6"/>
  <c r="AI21" i="6"/>
  <c r="AJ21" i="6"/>
  <c r="AO21" i="6"/>
  <c r="AP21" i="6"/>
  <c r="AU21" i="6"/>
  <c r="AV21" i="6"/>
  <c r="K5" i="5"/>
  <c r="D22" i="6"/>
  <c r="L5" i="5"/>
  <c r="E22" i="6"/>
  <c r="H22" i="6"/>
  <c r="F166" i="1"/>
  <c r="L22" i="6"/>
  <c r="J166" i="1"/>
  <c r="N22" i="6"/>
  <c r="L166" i="1"/>
  <c r="C23" i="6"/>
  <c r="K6" i="5"/>
  <c r="D23" i="6"/>
  <c r="L6" i="5"/>
  <c r="E23" i="6" s="1"/>
  <c r="H23" i="6"/>
  <c r="F167" i="1"/>
  <c r="L23" i="6"/>
  <c r="J167" i="1"/>
  <c r="N23" i="6"/>
  <c r="L167" i="1"/>
  <c r="C24" i="6"/>
  <c r="K7" i="5"/>
  <c r="D24" i="6"/>
  <c r="L7" i="5"/>
  <c r="E24" i="6"/>
  <c r="H24" i="6"/>
  <c r="F168" i="1"/>
  <c r="V80" i="5"/>
  <c r="L24" i="6"/>
  <c r="J168" i="1" s="1"/>
  <c r="N24" i="6"/>
  <c r="L168" i="1"/>
  <c r="AD24" i="6"/>
  <c r="AP24" i="6"/>
  <c r="C25" i="6"/>
  <c r="K9" i="5"/>
  <c r="D25" i="6"/>
  <c r="L9" i="5"/>
  <c r="E25" i="6"/>
  <c r="AD25" i="6"/>
  <c r="AP25" i="6"/>
  <c r="C26" i="6"/>
  <c r="K10" i="5"/>
  <c r="D26" i="6"/>
  <c r="L10" i="5"/>
  <c r="E26" i="6" s="1"/>
  <c r="AD26" i="6"/>
  <c r="AP26" i="6"/>
  <c r="C27" i="6"/>
  <c r="K11" i="5"/>
  <c r="D27" i="6"/>
  <c r="L11" i="5"/>
  <c r="E27" i="6"/>
  <c r="AD27" i="6"/>
  <c r="AP27" i="6"/>
  <c r="K13" i="5"/>
  <c r="D28" i="6"/>
  <c r="L13" i="5"/>
  <c r="E28" i="6"/>
  <c r="AD28" i="6"/>
  <c r="AP28" i="6"/>
  <c r="C29" i="6"/>
  <c r="K14" i="5"/>
  <c r="D29" i="6"/>
  <c r="L14" i="5"/>
  <c r="E29" i="6"/>
  <c r="C30" i="6"/>
  <c r="K15" i="5"/>
  <c r="D30" i="6"/>
  <c r="L15" i="5"/>
  <c r="E30" i="6"/>
  <c r="C31" i="6"/>
  <c r="K18" i="5"/>
  <c r="D31" i="6"/>
  <c r="L18" i="5"/>
  <c r="E31" i="6"/>
  <c r="K19" i="5"/>
  <c r="D32" i="6"/>
  <c r="L19" i="5"/>
  <c r="E32" i="6"/>
  <c r="C33" i="6"/>
  <c r="K20" i="5"/>
  <c r="D33" i="6"/>
  <c r="L20" i="5"/>
  <c r="E33" i="6"/>
  <c r="B34" i="6"/>
  <c r="C178" i="1"/>
  <c r="C34" i="6"/>
  <c r="K21" i="5"/>
  <c r="D34" i="6"/>
  <c r="L21" i="5"/>
  <c r="E34" i="6" s="1"/>
  <c r="H34" i="6"/>
  <c r="I34" i="6"/>
  <c r="L34" i="6"/>
  <c r="J178" i="1"/>
  <c r="A40" i="6"/>
  <c r="A41" i="6"/>
  <c r="A42" i="6"/>
  <c r="A43" i="6"/>
  <c r="A44" i="6"/>
  <c r="A45" i="6"/>
  <c r="A46" i="6"/>
  <c r="A47" i="6"/>
  <c r="A48" i="6"/>
  <c r="A49" i="6"/>
  <c r="A50" i="6"/>
  <c r="A51" i="6"/>
  <c r="A52" i="6"/>
  <c r="A53" i="6"/>
  <c r="A54" i="6"/>
  <c r="I4" i="7"/>
  <c r="L4" i="7"/>
  <c r="M4" i="7"/>
  <c r="X5" i="7"/>
  <c r="X4" i="7"/>
  <c r="Y8" i="7"/>
  <c r="Y4" i="7"/>
  <c r="Z4" i="7"/>
  <c r="I5" i="7"/>
  <c r="L5" i="7"/>
  <c r="M5" i="7"/>
  <c r="I6" i="7"/>
  <c r="M6" i="7"/>
  <c r="X6" i="7"/>
  <c r="I7" i="7"/>
  <c r="M7" i="7"/>
  <c r="T13" i="7"/>
  <c r="N9" i="7" s="1"/>
  <c r="O9" i="7" s="1"/>
  <c r="P7" i="7"/>
  <c r="Y7" i="7"/>
  <c r="I8" i="7"/>
  <c r="M8" i="7"/>
  <c r="P8" i="7"/>
  <c r="I9" i="7"/>
  <c r="M9" i="7"/>
  <c r="P9" i="7"/>
  <c r="Z9" i="7"/>
  <c r="I10" i="7"/>
  <c r="M10" i="7"/>
  <c r="P10" i="7"/>
  <c r="I11" i="7"/>
  <c r="M11" i="7"/>
  <c r="T14" i="7"/>
  <c r="N11" i="7"/>
  <c r="O11" i="7" s="1"/>
  <c r="P11" i="7"/>
  <c r="I12" i="7"/>
  <c r="L12" i="7"/>
  <c r="M12" i="7"/>
  <c r="N12" i="7"/>
  <c r="O12" i="7" s="1"/>
  <c r="P12" i="7"/>
  <c r="I13" i="7"/>
  <c r="M13" i="7"/>
  <c r="N13" i="7"/>
  <c r="O13" i="7" s="1"/>
  <c r="P13" i="7"/>
  <c r="I14" i="7"/>
  <c r="M14" i="7"/>
  <c r="N14" i="7"/>
  <c r="O14" i="7"/>
  <c r="P14" i="7"/>
  <c r="I15" i="7"/>
  <c r="M15" i="7"/>
  <c r="N15" i="7"/>
  <c r="O15" i="7" s="1"/>
  <c r="P15" i="7"/>
  <c r="T15" i="7"/>
  <c r="I16" i="7"/>
  <c r="M16" i="7"/>
  <c r="N16" i="7"/>
  <c r="O16" i="7" s="1"/>
  <c r="P16" i="7"/>
  <c r="I17" i="7"/>
  <c r="L17" i="7"/>
  <c r="M17" i="7"/>
  <c r="M50" i="7" s="1"/>
  <c r="N17" i="7"/>
  <c r="O17" i="7" s="1"/>
  <c r="P17" i="7"/>
  <c r="I18" i="7"/>
  <c r="M18" i="7"/>
  <c r="N18" i="7"/>
  <c r="O18" i="7" s="1"/>
  <c r="P18" i="7"/>
  <c r="I19" i="7"/>
  <c r="M19" i="7"/>
  <c r="N19" i="7"/>
  <c r="O19" i="7" s="1"/>
  <c r="P19" i="7"/>
  <c r="I20" i="7"/>
  <c r="M20" i="7"/>
  <c r="N20" i="7"/>
  <c r="O20" i="7" s="1"/>
  <c r="P20" i="7"/>
  <c r="I21" i="7"/>
  <c r="L21"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N21" i="7"/>
  <c r="O21" i="7" s="1"/>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I22" i="7"/>
  <c r="N22" i="7"/>
  <c r="O22" i="7" s="1"/>
  <c r="I23" i="7"/>
  <c r="N23" i="7"/>
  <c r="O23" i="7"/>
  <c r="I24" i="7"/>
  <c r="N24" i="7"/>
  <c r="O24" i="7"/>
  <c r="I25" i="7"/>
  <c r="N25" i="7"/>
  <c r="O25" i="7"/>
  <c r="I26" i="7"/>
  <c r="N26" i="7"/>
  <c r="O26" i="7"/>
  <c r="I27" i="7"/>
  <c r="N27" i="7"/>
  <c r="O27" i="7" s="1"/>
  <c r="I28" i="7"/>
  <c r="N28" i="7"/>
  <c r="O28" i="7"/>
  <c r="I29" i="7"/>
  <c r="N29" i="7"/>
  <c r="O29" i="7"/>
  <c r="I30" i="7"/>
  <c r="N30" i="7"/>
  <c r="O30" i="7"/>
  <c r="I31" i="7"/>
  <c r="N31" i="7"/>
  <c r="O31" i="7"/>
  <c r="I32" i="7"/>
  <c r="N32" i="7"/>
  <c r="O32" i="7"/>
  <c r="I33" i="7"/>
  <c r="N33" i="7"/>
  <c r="O33" i="7" s="1"/>
  <c r="I34" i="7"/>
  <c r="N34" i="7"/>
  <c r="O34" i="7" s="1"/>
  <c r="I35" i="7"/>
  <c r="N35" i="7"/>
  <c r="O35" i="7"/>
  <c r="I36" i="7"/>
  <c r="N36" i="7"/>
  <c r="O36" i="7"/>
  <c r="I37" i="7"/>
  <c r="N37" i="7"/>
  <c r="O37" i="7"/>
  <c r="I38" i="7"/>
  <c r="N38" i="7"/>
  <c r="O38" i="7" s="1"/>
  <c r="I39" i="7"/>
  <c r="N39" i="7"/>
  <c r="O39" i="7"/>
  <c r="I40" i="7"/>
  <c r="N40" i="7"/>
  <c r="O40" i="7"/>
  <c r="I41" i="7"/>
  <c r="N41" i="7"/>
  <c r="O41" i="7"/>
  <c r="I42" i="7"/>
  <c r="N42" i="7"/>
  <c r="O42" i="7"/>
  <c r="I43" i="7"/>
  <c r="N43" i="7"/>
  <c r="O43" i="7" s="1"/>
  <c r="I44" i="7"/>
  <c r="N44" i="7"/>
  <c r="O44" i="7"/>
  <c r="I45" i="7"/>
  <c r="N45" i="7"/>
  <c r="O45" i="7"/>
  <c r="I46" i="7"/>
  <c r="N46" i="7"/>
  <c r="O46" i="7"/>
  <c r="I47" i="7"/>
  <c r="N47" i="7"/>
  <c r="O47" i="7"/>
  <c r="I48" i="7"/>
  <c r="N48" i="7"/>
  <c r="O48" i="7"/>
  <c r="I49" i="7"/>
  <c r="N49" i="7"/>
  <c r="O49" i="7" s="1"/>
  <c r="B5" i="9"/>
  <c r="AM5" i="9"/>
  <c r="T5" i="9" s="1"/>
  <c r="U5" i="9" s="1"/>
  <c r="BM5" i="9"/>
  <c r="AJ5" i="9"/>
  <c r="B6" i="9"/>
  <c r="AM6" i="9"/>
  <c r="T6" i="9" s="1"/>
  <c r="U6" i="9" s="1"/>
  <c r="BM8" i="9"/>
  <c r="AN8" i="9"/>
  <c r="V8" i="9"/>
  <c r="AJ6" i="9"/>
  <c r="BM6" i="9"/>
  <c r="B7" i="9"/>
  <c r="AM7" i="9"/>
  <c r="T7" i="9"/>
  <c r="U7" i="9" s="1"/>
  <c r="BM9" i="9"/>
  <c r="AN6" i="9"/>
  <c r="V6" i="9" s="1"/>
  <c r="AJ7" i="9"/>
  <c r="BM7" i="9"/>
  <c r="B8" i="9"/>
  <c r="AM8" i="9"/>
  <c r="T8" i="9"/>
  <c r="U8" i="9" s="1"/>
  <c r="AJ8" i="9"/>
  <c r="B9" i="9"/>
  <c r="AM9" i="9"/>
  <c r="T9" i="9" s="1"/>
  <c r="U9" i="9" s="1"/>
  <c r="AN9" i="9"/>
  <c r="V9" i="9"/>
  <c r="AJ9" i="9"/>
  <c r="B10" i="9"/>
  <c r="AM10" i="9"/>
  <c r="T10" i="9"/>
  <c r="U10" i="9"/>
  <c r="AN10" i="9"/>
  <c r="V10" i="9" s="1"/>
  <c r="AJ10" i="9"/>
  <c r="BM10" i="9"/>
  <c r="B11" i="9"/>
  <c r="AM11" i="9"/>
  <c r="T11" i="9"/>
  <c r="U11" i="9" s="1"/>
  <c r="AN11" i="9"/>
  <c r="V11" i="9"/>
  <c r="AJ11" i="9"/>
  <c r="BM11" i="9"/>
  <c r="B12" i="9"/>
  <c r="AM12" i="9"/>
  <c r="T12" i="9" s="1"/>
  <c r="U12" i="9" s="1"/>
  <c r="AN12" i="9"/>
  <c r="V12" i="9"/>
  <c r="AJ12" i="9"/>
  <c r="BM12" i="9"/>
  <c r="B13" i="9"/>
  <c r="AM13" i="9"/>
  <c r="T13" i="9"/>
  <c r="U13" i="9" s="1"/>
  <c r="AN13" i="9"/>
  <c r="V13" i="9" s="1"/>
  <c r="AJ13" i="9"/>
  <c r="BM13" i="9"/>
  <c r="B14" i="9"/>
  <c r="AM14" i="9"/>
  <c r="T14" i="9"/>
  <c r="U14" i="9" s="1"/>
  <c r="AN14" i="9"/>
  <c r="V14" i="9"/>
  <c r="AJ14" i="9"/>
  <c r="BM14" i="9"/>
  <c r="B15" i="9"/>
  <c r="AM15" i="9"/>
  <c r="T15" i="9"/>
  <c r="U15" i="9" s="1"/>
  <c r="AN15" i="9"/>
  <c r="V15" i="9"/>
  <c r="AJ15" i="9"/>
  <c r="B16" i="9"/>
  <c r="R16" i="9"/>
  <c r="AM16" i="9"/>
  <c r="T16" i="9" s="1"/>
  <c r="U16" i="9" s="1"/>
  <c r="AN16" i="9"/>
  <c r="V16" i="9" s="1"/>
  <c r="AJ16" i="9"/>
  <c r="B17" i="9"/>
  <c r="AM17" i="9"/>
  <c r="T17" i="9" s="1"/>
  <c r="U17" i="9" s="1"/>
  <c r="AN17" i="9"/>
  <c r="V17" i="9" s="1"/>
  <c r="AJ17" i="9"/>
  <c r="B18" i="9"/>
  <c r="AM18" i="9"/>
  <c r="T18" i="9" s="1"/>
  <c r="U18" i="9" s="1"/>
  <c r="AN18" i="9"/>
  <c r="V18" i="9"/>
  <c r="AJ18" i="9"/>
  <c r="B20" i="9"/>
  <c r="AJ20" i="9"/>
  <c r="B21" i="9"/>
  <c r="T21" i="9"/>
  <c r="U21" i="9" s="1"/>
  <c r="AJ21" i="9"/>
  <c r="B22" i="9"/>
  <c r="T22" i="9"/>
  <c r="U22" i="9"/>
  <c r="AJ22" i="9"/>
  <c r="B23" i="9"/>
  <c r="T23" i="9"/>
  <c r="U23" i="9"/>
  <c r="AJ23" i="9"/>
  <c r="B24" i="9"/>
  <c r="T24" i="9"/>
  <c r="U24" i="9" s="1"/>
  <c r="AJ24" i="9"/>
  <c r="B25" i="9"/>
  <c r="T25" i="9"/>
  <c r="U25" i="9" s="1"/>
  <c r="AJ25" i="9"/>
  <c r="BH48" i="1"/>
  <c r="BK48" i="1"/>
  <c r="M28" i="4"/>
  <c r="E30" i="9"/>
  <c r="E31" i="9"/>
  <c r="I31" i="9"/>
  <c r="F8" i="8"/>
  <c r="I8" i="8"/>
  <c r="D9" i="8"/>
  <c r="H9" i="8"/>
  <c r="L62" i="5"/>
  <c r="L76" i="5"/>
  <c r="L77" i="5"/>
  <c r="L78" i="5"/>
  <c r="L79" i="5"/>
  <c r="L80" i="5"/>
  <c r="T8" i="5"/>
  <c r="U8" i="5"/>
  <c r="W8" i="5"/>
  <c r="L82" i="5"/>
  <c r="L83" i="5"/>
  <c r="L84" i="5"/>
  <c r="N9" i="5"/>
  <c r="L86" i="5"/>
  <c r="L87" i="5"/>
  <c r="L88" i="5"/>
  <c r="N10" i="5"/>
  <c r="L90" i="5"/>
  <c r="L91" i="5"/>
  <c r="L92" i="5"/>
  <c r="N11" i="5"/>
  <c r="T11" i="5"/>
  <c r="U11" i="5"/>
  <c r="W11" i="5"/>
  <c r="L94" i="5"/>
  <c r="L95" i="5"/>
  <c r="L96" i="5"/>
  <c r="L97" i="5"/>
  <c r="L98" i="5"/>
  <c r="L99" i="5"/>
  <c r="L100" i="5"/>
  <c r="L101" i="5"/>
  <c r="N13" i="5"/>
  <c r="L103" i="5"/>
  <c r="L104" i="5"/>
  <c r="L105" i="5"/>
  <c r="L106" i="5"/>
  <c r="N14" i="5" s="1"/>
  <c r="L107" i="5"/>
  <c r="L108" i="5"/>
  <c r="L109" i="5"/>
  <c r="L110" i="5"/>
  <c r="U14" i="5"/>
  <c r="W14" i="5"/>
  <c r="L112" i="5"/>
  <c r="L113" i="5"/>
  <c r="L114" i="5"/>
  <c r="L115" i="5"/>
  <c r="L116" i="5"/>
  <c r="N15" i="5" s="1"/>
  <c r="L117" i="5"/>
  <c r="L118" i="5"/>
  <c r="L119" i="5"/>
  <c r="U15" i="5"/>
  <c r="W15" i="5"/>
  <c r="C58" i="5"/>
  <c r="D58" i="5"/>
  <c r="C82" i="5"/>
  <c r="D82" i="5"/>
  <c r="C86" i="5"/>
  <c r="D86" i="5"/>
  <c r="C90" i="5"/>
  <c r="D90" i="5"/>
  <c r="D94" i="5"/>
  <c r="D103" i="5"/>
  <c r="D112" i="5"/>
  <c r="Y59" i="5"/>
  <c r="N60" i="5"/>
  <c r="R60" i="5"/>
  <c r="S60" i="5" s="1"/>
  <c r="Y62" i="5"/>
  <c r="Y63" i="5"/>
  <c r="C64" i="5"/>
  <c r="D64" i="5"/>
  <c r="R64" i="5"/>
  <c r="S64" i="5"/>
  <c r="Y64" i="5"/>
  <c r="R65" i="5"/>
  <c r="S65" i="5"/>
  <c r="R66" i="5"/>
  <c r="S66" i="5"/>
  <c r="R67" i="5"/>
  <c r="S67" i="5"/>
  <c r="R68" i="5"/>
  <c r="S68" i="5"/>
  <c r="C70" i="5"/>
  <c r="D70" i="5"/>
  <c r="E70" i="5"/>
  <c r="F70" i="5"/>
  <c r="R70" i="5"/>
  <c r="S70" i="5"/>
  <c r="R71" i="5"/>
  <c r="S71" i="5"/>
  <c r="R72" i="5"/>
  <c r="S72" i="5"/>
  <c r="R73" i="5"/>
  <c r="S73" i="5"/>
  <c r="R74" i="5"/>
  <c r="S74" i="5"/>
  <c r="C76" i="5"/>
  <c r="D76" i="5"/>
  <c r="N76" i="5"/>
  <c r="O76" i="5"/>
  <c r="R76" i="5"/>
  <c r="S76" i="5"/>
  <c r="N77" i="5"/>
  <c r="O77" i="5"/>
  <c r="R77" i="5"/>
  <c r="S77" i="5"/>
  <c r="N78" i="5"/>
  <c r="O78" i="5"/>
  <c r="R78" i="5"/>
  <c r="S78" i="5"/>
  <c r="N79" i="5"/>
  <c r="O79" i="5"/>
  <c r="R79" i="5"/>
  <c r="S79" i="5"/>
  <c r="N80" i="5"/>
  <c r="O80" i="5"/>
  <c r="R80" i="5"/>
  <c r="S80" i="5"/>
  <c r="E82" i="5"/>
  <c r="F82" i="5"/>
  <c r="G82" i="5"/>
  <c r="H82" i="5"/>
  <c r="I82" i="5"/>
  <c r="J82" i="5"/>
  <c r="N82" i="5"/>
  <c r="O82" i="5"/>
  <c r="N83" i="5"/>
  <c r="O83" i="5"/>
  <c r="R83" i="5"/>
  <c r="S83" i="5"/>
  <c r="N84" i="5"/>
  <c r="O84" i="5"/>
  <c r="R84" i="5"/>
  <c r="S84" i="5"/>
  <c r="E86" i="5"/>
  <c r="F86" i="5"/>
  <c r="G86" i="5"/>
  <c r="H86" i="5"/>
  <c r="I86" i="5"/>
  <c r="J86" i="5"/>
  <c r="N86" i="5"/>
  <c r="O86" i="5"/>
  <c r="R86" i="5"/>
  <c r="S86" i="5"/>
  <c r="N87" i="5"/>
  <c r="O87" i="5"/>
  <c r="R87" i="5"/>
  <c r="S87" i="5"/>
  <c r="N88" i="5"/>
  <c r="O88" i="5"/>
  <c r="R88" i="5"/>
  <c r="S88" i="5"/>
  <c r="E90" i="5"/>
  <c r="F90" i="5"/>
  <c r="G90" i="5"/>
  <c r="H90" i="5"/>
  <c r="I90" i="5"/>
  <c r="J90" i="5"/>
  <c r="N90" i="5"/>
  <c r="O90" i="5"/>
  <c r="R90" i="5"/>
  <c r="S90" i="5"/>
  <c r="N91" i="5"/>
  <c r="R91" i="5"/>
  <c r="S91" i="5"/>
  <c r="N92" i="5"/>
  <c r="R92" i="5"/>
  <c r="S92" i="5"/>
  <c r="C94" i="5"/>
  <c r="E94" i="5"/>
  <c r="F94" i="5"/>
  <c r="G94" i="5"/>
  <c r="J94" i="5" s="1"/>
  <c r="H94" i="5"/>
  <c r="I94" i="5"/>
  <c r="N94" i="5"/>
  <c r="O94" i="5"/>
  <c r="N95" i="5"/>
  <c r="O95" i="5"/>
  <c r="R95" i="5"/>
  <c r="S95" i="5"/>
  <c r="N96" i="5"/>
  <c r="O96" i="5"/>
  <c r="R96" i="5"/>
  <c r="S96" i="5"/>
  <c r="N97" i="5"/>
  <c r="O97" i="5"/>
  <c r="R97" i="5"/>
  <c r="S97" i="5"/>
  <c r="N98" i="5"/>
  <c r="O98" i="5"/>
  <c r="R98" i="5"/>
  <c r="S98" i="5"/>
  <c r="N99" i="5"/>
  <c r="O99" i="5"/>
  <c r="R99" i="5"/>
  <c r="S99" i="5"/>
  <c r="N100" i="5"/>
  <c r="O100" i="5"/>
  <c r="R100" i="5"/>
  <c r="S100" i="5"/>
  <c r="N101" i="5"/>
  <c r="O101" i="5"/>
  <c r="R101" i="5"/>
  <c r="S101" i="5"/>
  <c r="C103" i="5"/>
  <c r="G103" i="5" s="1"/>
  <c r="E103" i="5"/>
  <c r="F103" i="5"/>
  <c r="N103" i="5"/>
  <c r="O103" i="5"/>
  <c r="R103" i="5"/>
  <c r="S103" i="5"/>
  <c r="N104" i="5"/>
  <c r="O104" i="5"/>
  <c r="R104" i="5"/>
  <c r="S104" i="5"/>
  <c r="N105" i="5"/>
  <c r="O105" i="5"/>
  <c r="R105" i="5"/>
  <c r="S105" i="5"/>
  <c r="N106" i="5"/>
  <c r="O106" i="5"/>
  <c r="R106" i="5"/>
  <c r="S106" i="5"/>
  <c r="N107" i="5"/>
  <c r="O107" i="5"/>
  <c r="R107" i="5"/>
  <c r="S107" i="5"/>
  <c r="N108" i="5"/>
  <c r="O108" i="5"/>
  <c r="R108" i="5"/>
  <c r="S108" i="5"/>
  <c r="N109" i="5"/>
  <c r="O109" i="5"/>
  <c r="R109" i="5"/>
  <c r="S109" i="5"/>
  <c r="N110" i="5"/>
  <c r="O110" i="5"/>
  <c r="R110" i="5"/>
  <c r="S110" i="5"/>
  <c r="C112" i="5"/>
  <c r="E112" i="5"/>
  <c r="F112" i="5"/>
  <c r="G112" i="5"/>
  <c r="H112" i="5"/>
  <c r="I112" i="5"/>
  <c r="J112" i="5"/>
  <c r="N112" i="5"/>
  <c r="O112" i="5"/>
  <c r="R112" i="5"/>
  <c r="S112" i="5" s="1"/>
  <c r="N113" i="5"/>
  <c r="O113" i="5"/>
  <c r="R113" i="5"/>
  <c r="S113" i="5" s="1"/>
  <c r="N114" i="5"/>
  <c r="O114" i="5"/>
  <c r="R114" i="5"/>
  <c r="S114" i="5"/>
  <c r="N115" i="5"/>
  <c r="O115" i="5"/>
  <c r="R115" i="5"/>
  <c r="S115" i="5"/>
  <c r="N116" i="5"/>
  <c r="O116" i="5"/>
  <c r="R116" i="5"/>
  <c r="S116" i="5" s="1"/>
  <c r="N117" i="5"/>
  <c r="O117" i="5"/>
  <c r="R117" i="5"/>
  <c r="S117" i="5" s="1"/>
  <c r="N118" i="5"/>
  <c r="O118" i="5"/>
  <c r="R118" i="5"/>
  <c r="S118" i="5"/>
  <c r="N119" i="5"/>
  <c r="O119" i="5"/>
  <c r="R119" i="5"/>
  <c r="S119" i="5"/>
  <c r="B2" i="14"/>
  <c r="F2" i="14"/>
  <c r="F10" i="15"/>
  <c r="G9" i="15"/>
  <c r="D10" i="15"/>
  <c r="F11" i="15"/>
  <c r="D11" i="15"/>
  <c r="F12" i="15"/>
  <c r="G11" i="15"/>
  <c r="D12" i="15"/>
  <c r="F13" i="15"/>
  <c r="G12" i="15" s="1"/>
  <c r="D13" i="15"/>
  <c r="F14" i="15"/>
  <c r="G13" i="15"/>
  <c r="D14" i="15"/>
  <c r="F15" i="15"/>
  <c r="D15" i="15"/>
  <c r="F16" i="15"/>
  <c r="G15" i="15"/>
  <c r="D16" i="15"/>
  <c r="F17" i="15"/>
  <c r="G16" i="15"/>
  <c r="D17" i="15"/>
  <c r="F18" i="15"/>
  <c r="G17" i="15"/>
  <c r="D18" i="15"/>
  <c r="F19" i="15"/>
  <c r="G18" i="15"/>
  <c r="D19" i="15"/>
  <c r="F20" i="15"/>
  <c r="G19" i="15" s="1"/>
  <c r="D20" i="15"/>
  <c r="F21" i="15"/>
  <c r="G20" i="15"/>
  <c r="D21" i="15"/>
  <c r="G21" i="15" s="1"/>
  <c r="F22" i="15"/>
  <c r="D22" i="15"/>
  <c r="F23" i="15"/>
  <c r="G22" i="15"/>
  <c r="D23" i="15"/>
  <c r="F24" i="15"/>
  <c r="G23" i="15"/>
  <c r="D24" i="15"/>
  <c r="F25" i="15"/>
  <c r="G24" i="15"/>
  <c r="D25" i="15"/>
  <c r="G25" i="15" s="1"/>
  <c r="F26" i="15"/>
  <c r="D26" i="15"/>
  <c r="F27" i="15"/>
  <c r="G26" i="15" s="1"/>
  <c r="D27" i="15"/>
  <c r="G27" i="15" s="1"/>
  <c r="F28" i="15"/>
  <c r="D28" i="15"/>
  <c r="F29" i="15"/>
  <c r="G28" i="15" s="1"/>
  <c r="D29" i="15"/>
  <c r="F30" i="15"/>
  <c r="G29" i="15"/>
  <c r="D30" i="15"/>
  <c r="G30" i="15" s="1"/>
  <c r="F31" i="15"/>
  <c r="D31" i="15"/>
  <c r="F32" i="15"/>
  <c r="G31" i="15"/>
  <c r="D32" i="15"/>
  <c r="F33" i="15"/>
  <c r="G32" i="15" s="1"/>
  <c r="D33" i="15"/>
  <c r="F34" i="15"/>
  <c r="G33" i="15"/>
  <c r="D34" i="15"/>
  <c r="F35" i="15"/>
  <c r="G34" i="15"/>
  <c r="D35" i="15"/>
  <c r="F36" i="15"/>
  <c r="G35" i="15" s="1"/>
  <c r="D36" i="15"/>
  <c r="F37" i="15"/>
  <c r="G36" i="15"/>
  <c r="D37" i="15"/>
  <c r="G37" i="15" s="1"/>
  <c r="F38" i="15"/>
  <c r="D38" i="15"/>
  <c r="F39" i="15"/>
  <c r="G38" i="15"/>
  <c r="D39" i="15"/>
  <c r="F40" i="15"/>
  <c r="G39" i="15"/>
  <c r="D40" i="15"/>
  <c r="F41" i="15"/>
  <c r="G40" i="15"/>
  <c r="D41" i="15"/>
  <c r="G41" i="15" s="1"/>
  <c r="F42" i="15"/>
  <c r="D42" i="15"/>
  <c r="F43" i="15"/>
  <c r="G42" i="15" s="1"/>
  <c r="D43" i="15"/>
  <c r="G43" i="15" s="1"/>
  <c r="F44" i="15"/>
  <c r="D44" i="15"/>
  <c r="F45" i="15"/>
  <c r="G44" i="15" s="1"/>
  <c r="D45" i="15"/>
  <c r="F46" i="15"/>
  <c r="G45" i="15"/>
  <c r="D46" i="15"/>
  <c r="G46" i="15" s="1"/>
  <c r="F47" i="15"/>
  <c r="D47" i="15"/>
  <c r="F48" i="15"/>
  <c r="G47" i="15"/>
  <c r="D48" i="15"/>
  <c r="F49" i="15"/>
  <c r="G48" i="15" s="1"/>
  <c r="D49" i="15"/>
  <c r="F50" i="15"/>
  <c r="G49" i="15"/>
  <c r="D50" i="15"/>
  <c r="F51" i="15"/>
  <c r="G50" i="15"/>
  <c r="D51" i="15"/>
  <c r="F52" i="15"/>
  <c r="G51" i="15"/>
  <c r="D52" i="15"/>
  <c r="F53" i="15"/>
  <c r="G52" i="15"/>
  <c r="D53" i="15"/>
  <c r="G53" i="15" s="1"/>
  <c r="F54" i="15"/>
  <c r="D54" i="15"/>
  <c r="F55" i="15"/>
  <c r="G54" i="15"/>
  <c r="D55" i="15"/>
  <c r="F56" i="15"/>
  <c r="G55" i="15"/>
  <c r="D56" i="15"/>
  <c r="F57" i="15"/>
  <c r="G56" i="15"/>
  <c r="D57" i="15"/>
  <c r="G57" i="15" s="1"/>
  <c r="F58" i="15"/>
  <c r="D58" i="15"/>
  <c r="F59" i="15"/>
  <c r="G58" i="15" s="1"/>
  <c r="D59" i="15"/>
  <c r="G59" i="15" s="1"/>
  <c r="F60" i="15"/>
  <c r="D60" i="15"/>
  <c r="F61" i="15"/>
  <c r="G60" i="15" s="1"/>
  <c r="D61" i="15"/>
  <c r="F62" i="15"/>
  <c r="G61" i="15"/>
  <c r="D62" i="15"/>
  <c r="G62" i="15" s="1"/>
  <c r="F63" i="15"/>
  <c r="D63" i="15"/>
  <c r="F64" i="15"/>
  <c r="G63" i="15"/>
  <c r="D64" i="15"/>
  <c r="F65" i="15"/>
  <c r="G64" i="15" s="1"/>
  <c r="D65" i="15"/>
  <c r="F66" i="15"/>
  <c r="G65" i="15"/>
  <c r="D66" i="15"/>
  <c r="F67" i="15"/>
  <c r="G66" i="15"/>
  <c r="D67" i="15"/>
  <c r="F68" i="15"/>
  <c r="G67" i="15" s="1"/>
  <c r="D68" i="15"/>
  <c r="F69" i="15"/>
  <c r="G68" i="15"/>
  <c r="D69" i="15"/>
  <c r="G69" i="15" s="1"/>
  <c r="F70" i="15"/>
  <c r="D70" i="15"/>
  <c r="F71" i="15"/>
  <c r="G70" i="15"/>
  <c r="D71" i="15"/>
  <c r="F72" i="15"/>
  <c r="G71" i="15"/>
  <c r="D72" i="15"/>
  <c r="F73" i="15"/>
  <c r="G72" i="15" s="1"/>
  <c r="D73" i="15"/>
  <c r="G73" i="15" s="1"/>
  <c r="F74" i="15"/>
  <c r="D74" i="15"/>
  <c r="F75" i="15"/>
  <c r="G74" i="15" s="1"/>
  <c r="D75" i="15"/>
  <c r="G75" i="15" s="1"/>
  <c r="F76" i="15"/>
  <c r="D76" i="15"/>
  <c r="F77" i="15"/>
  <c r="G76" i="15" s="1"/>
  <c r="D77" i="15"/>
  <c r="F78" i="15"/>
  <c r="G77" i="15"/>
  <c r="D78" i="15"/>
  <c r="G78" i="15" s="1"/>
  <c r="F79" i="15"/>
  <c r="D79" i="15"/>
  <c r="F80" i="15"/>
  <c r="G79" i="15"/>
  <c r="D80" i="15"/>
  <c r="F81" i="15"/>
  <c r="G80" i="15" s="1"/>
  <c r="D81" i="15"/>
  <c r="F82" i="15"/>
  <c r="G81" i="15"/>
  <c r="D82" i="15"/>
  <c r="F83" i="15"/>
  <c r="G82" i="15"/>
  <c r="D83" i="15"/>
  <c r="F84" i="15"/>
  <c r="G83" i="15" s="1"/>
  <c r="D84" i="15"/>
  <c r="F85" i="15"/>
  <c r="G84" i="15"/>
  <c r="D85" i="15"/>
  <c r="G85" i="15" s="1"/>
  <c r="F86" i="15"/>
  <c r="D86" i="15"/>
  <c r="F87" i="15"/>
  <c r="G86" i="15"/>
  <c r="D87" i="15"/>
  <c r="F88" i="15"/>
  <c r="G87" i="15"/>
  <c r="D88" i="15"/>
  <c r="F89" i="15"/>
  <c r="G88" i="15" s="1"/>
  <c r="D89" i="15"/>
  <c r="G89" i="15" s="1"/>
  <c r="F90" i="15"/>
  <c r="D90" i="15"/>
  <c r="F91" i="15"/>
  <c r="G90" i="15" s="1"/>
  <c r="D91" i="15"/>
  <c r="G91" i="15" s="1"/>
  <c r="F92" i="15"/>
  <c r="D92" i="15"/>
  <c r="F93" i="15"/>
  <c r="G92" i="15" s="1"/>
  <c r="D93" i="15"/>
  <c r="F94" i="15"/>
  <c r="G93" i="15" s="1"/>
  <c r="D94" i="15"/>
  <c r="F95" i="15"/>
  <c r="D95" i="15"/>
  <c r="F96" i="15"/>
  <c r="G95" i="15"/>
  <c r="D96" i="15"/>
  <c r="F97" i="15"/>
  <c r="G96" i="15" s="1"/>
  <c r="D97" i="15"/>
  <c r="F98" i="15"/>
  <c r="G97" i="15"/>
  <c r="D98" i="15"/>
  <c r="F99" i="15"/>
  <c r="G98" i="15"/>
  <c r="D99" i="15"/>
  <c r="F100" i="15"/>
  <c r="D100" i="15"/>
  <c r="F101" i="15"/>
  <c r="G100" i="15"/>
  <c r="D101" i="15"/>
  <c r="G101" i="15" s="1"/>
  <c r="F102" i="15"/>
  <c r="D102" i="15"/>
  <c r="F103" i="15"/>
  <c r="G102" i="15"/>
  <c r="D103" i="15"/>
  <c r="F104" i="15"/>
  <c r="G103" i="15"/>
  <c r="D105" i="15"/>
  <c r="A105" i="15"/>
  <c r="A9" i="15"/>
  <c r="B105" i="15"/>
  <c r="C105" i="15"/>
  <c r="AN9" i="11"/>
  <c r="AT9" i="11" s="1"/>
  <c r="AO9" i="11"/>
  <c r="AU9" i="11" s="1"/>
  <c r="AP9" i="11"/>
  <c r="AV9" i="11"/>
  <c r="AQ9" i="11"/>
  <c r="AW9" i="11" s="1"/>
  <c r="AR9" i="11"/>
  <c r="C2" i="11"/>
  <c r="AC8" i="11"/>
  <c r="BL9" i="11" s="1"/>
  <c r="BA9" i="11"/>
  <c r="BB9" i="11"/>
  <c r="BC9" i="11"/>
  <c r="BD9" i="11"/>
  <c r="AN10" i="11"/>
  <c r="G10" i="11" s="1"/>
  <c r="AO10" i="11"/>
  <c r="AU10" i="11" s="1"/>
  <c r="AP10" i="11"/>
  <c r="AV10" i="11"/>
  <c r="AQ10" i="11"/>
  <c r="AW10" i="11" s="1"/>
  <c r="AR10" i="11"/>
  <c r="AX10" i="11" s="1"/>
  <c r="BA10" i="11"/>
  <c r="BB10" i="11"/>
  <c r="BC10" i="11"/>
  <c r="BD10" i="11"/>
  <c r="AN11" i="11"/>
  <c r="AT11" i="11" s="1"/>
  <c r="AO11" i="11"/>
  <c r="AU11" i="11" s="1"/>
  <c r="AP11" i="11"/>
  <c r="AV11" i="11" s="1"/>
  <c r="AQ11" i="11"/>
  <c r="U11" i="11"/>
  <c r="AR11" i="11"/>
  <c r="BM11" i="11"/>
  <c r="BA11" i="11"/>
  <c r="BB11" i="11"/>
  <c r="BC11" i="11"/>
  <c r="BD11" i="11"/>
  <c r="AN12" i="11"/>
  <c r="AT12" i="11"/>
  <c r="AO12" i="11"/>
  <c r="K12" i="11"/>
  <c r="AP12" i="11"/>
  <c r="AV12" i="11"/>
  <c r="AQ12" i="11"/>
  <c r="AW12" i="11"/>
  <c r="AR12" i="11"/>
  <c r="AX12" i="11"/>
  <c r="BA12" i="11"/>
  <c r="BE12" i="11" s="1"/>
  <c r="AH12" i="11" s="1"/>
  <c r="BB12" i="11"/>
  <c r="BC12" i="11"/>
  <c r="BD12" i="11"/>
  <c r="AN13" i="11"/>
  <c r="AT13" i="11"/>
  <c r="AO13" i="11"/>
  <c r="K13" i="11"/>
  <c r="AP13" i="11"/>
  <c r="AV13" i="11"/>
  <c r="AQ13" i="11"/>
  <c r="AW13" i="11"/>
  <c r="AR13" i="11"/>
  <c r="AX13" i="11"/>
  <c r="BA13" i="11"/>
  <c r="BB13" i="11"/>
  <c r="BC13" i="11"/>
  <c r="BD13" i="11"/>
  <c r="AN14" i="11"/>
  <c r="G14" i="11"/>
  <c r="AO14" i="11"/>
  <c r="AU14" i="11"/>
  <c r="AP14" i="11"/>
  <c r="AV14" i="11"/>
  <c r="AQ14" i="11"/>
  <c r="AW14" i="11"/>
  <c r="AR14" i="11"/>
  <c r="Z14" i="11"/>
  <c r="BA14" i="11"/>
  <c r="BB14" i="11"/>
  <c r="BC14" i="11"/>
  <c r="BD14" i="11"/>
  <c r="AN15" i="11"/>
  <c r="AT15" i="11"/>
  <c r="AO15" i="11"/>
  <c r="K15" i="11"/>
  <c r="AP15" i="11"/>
  <c r="AV15" i="11"/>
  <c r="AQ15" i="11"/>
  <c r="AW15" i="11"/>
  <c r="AR15" i="11"/>
  <c r="AX15" i="11"/>
  <c r="BA15" i="11"/>
  <c r="BB15" i="11"/>
  <c r="BC15" i="11"/>
  <c r="BD15" i="11"/>
  <c r="BE15" i="11" s="1"/>
  <c r="AH15" i="11" s="1"/>
  <c r="AN16" i="11"/>
  <c r="G16" i="11" s="1"/>
  <c r="AT16" i="11"/>
  <c r="AO16" i="11"/>
  <c r="AU16" i="11"/>
  <c r="AP16" i="11"/>
  <c r="AV16" i="11"/>
  <c r="AQ16" i="11"/>
  <c r="U16" i="11"/>
  <c r="AR16" i="11"/>
  <c r="Z16" i="11"/>
  <c r="BA16" i="11"/>
  <c r="BB16" i="11"/>
  <c r="BC16" i="11"/>
  <c r="BD16" i="11"/>
  <c r="AN17" i="11"/>
  <c r="G17" i="11"/>
  <c r="AO17" i="11"/>
  <c r="K17" i="11" s="1"/>
  <c r="AU17" i="11"/>
  <c r="AP17" i="11"/>
  <c r="AV17" i="11"/>
  <c r="AQ17" i="11"/>
  <c r="AW17" i="11"/>
  <c r="AR17" i="11"/>
  <c r="AX17" i="11"/>
  <c r="BA17" i="11"/>
  <c r="BB17" i="11"/>
  <c r="BC17" i="11"/>
  <c r="BD17" i="11"/>
  <c r="AN18" i="11"/>
  <c r="G18" i="11"/>
  <c r="AO18" i="11"/>
  <c r="AU18" i="11"/>
  <c r="AP18" i="11"/>
  <c r="P18" i="11" s="1"/>
  <c r="AV18" i="11"/>
  <c r="AQ18" i="11"/>
  <c r="AW18" i="11"/>
  <c r="AR18" i="11"/>
  <c r="AX18" i="11"/>
  <c r="BA18" i="11"/>
  <c r="BB18" i="11"/>
  <c r="BC18" i="11"/>
  <c r="BD18" i="11"/>
  <c r="AN19" i="11"/>
  <c r="AT19" i="11"/>
  <c r="AO19" i="11"/>
  <c r="AU19" i="11"/>
  <c r="AP19" i="11"/>
  <c r="AV19" i="11"/>
  <c r="AQ19" i="11"/>
  <c r="AW19" i="11"/>
  <c r="AR19" i="11"/>
  <c r="AX19" i="11"/>
  <c r="BA19" i="11"/>
  <c r="BB19" i="11"/>
  <c r="BC19" i="11"/>
  <c r="BD19" i="11"/>
  <c r="AN20" i="11"/>
  <c r="AT20" i="11"/>
  <c r="AO20" i="11"/>
  <c r="AU20" i="11"/>
  <c r="AP20" i="11"/>
  <c r="AV20" i="11"/>
  <c r="AQ20" i="11"/>
  <c r="U20" i="11"/>
  <c r="AR20" i="11"/>
  <c r="Z20" i="11" s="1"/>
  <c r="AX20" i="11"/>
  <c r="AY20" i="11" s="1"/>
  <c r="AE20" i="11" s="1"/>
  <c r="BA20" i="11"/>
  <c r="BB20" i="11"/>
  <c r="BC20" i="11"/>
  <c r="BD20" i="11"/>
  <c r="AN21" i="11"/>
  <c r="AT21" i="11"/>
  <c r="AO21" i="11"/>
  <c r="AU21" i="11"/>
  <c r="AP21" i="11"/>
  <c r="AV21" i="11"/>
  <c r="AQ21" i="11"/>
  <c r="AW21" i="11"/>
  <c r="AR21" i="11"/>
  <c r="Z21" i="11"/>
  <c r="BA21" i="11"/>
  <c r="BB21" i="11"/>
  <c r="BC21" i="11"/>
  <c r="BD21" i="11"/>
  <c r="AN22" i="11"/>
  <c r="AT22" i="11"/>
  <c r="AO22" i="11"/>
  <c r="AU22" i="11"/>
  <c r="AP22" i="11"/>
  <c r="AV22" i="11"/>
  <c r="AQ22" i="11"/>
  <c r="AW22" i="11"/>
  <c r="AR22" i="11"/>
  <c r="AX22" i="11"/>
  <c r="BA22" i="11"/>
  <c r="BB22" i="11"/>
  <c r="BC22" i="11"/>
  <c r="BD22" i="11"/>
  <c r="AN23" i="11"/>
  <c r="AT23" i="11"/>
  <c r="AO23" i="11"/>
  <c r="AU23" i="11"/>
  <c r="AP23" i="11"/>
  <c r="AV23" i="11"/>
  <c r="AQ23" i="11"/>
  <c r="AW23" i="11"/>
  <c r="AR23" i="11"/>
  <c r="AX23" i="11"/>
  <c r="BA23" i="11"/>
  <c r="BB23" i="11"/>
  <c r="BC23" i="11"/>
  <c r="BD23" i="11"/>
  <c r="BE23" i="11" s="1"/>
  <c r="AH23" i="11" s="1"/>
  <c r="AN24" i="11"/>
  <c r="G24" i="11" s="1"/>
  <c r="AT24" i="11"/>
  <c r="AY24" i="11" s="1"/>
  <c r="AO24" i="11"/>
  <c r="AU24" i="11"/>
  <c r="AP24" i="11"/>
  <c r="AV24" i="11"/>
  <c r="AQ24" i="11"/>
  <c r="AW24" i="11"/>
  <c r="AR24" i="11"/>
  <c r="AX24" i="11"/>
  <c r="BA24" i="11"/>
  <c r="BB24" i="11"/>
  <c r="BC24" i="11"/>
  <c r="BD24" i="11"/>
  <c r="AN25" i="11"/>
  <c r="AT25" i="11"/>
  <c r="AO25" i="11"/>
  <c r="AP25" i="11"/>
  <c r="AV25" i="11"/>
  <c r="AQ25" i="11"/>
  <c r="AW25" i="11" s="1"/>
  <c r="AR25" i="11"/>
  <c r="Z25" i="11" s="1"/>
  <c r="BA25" i="11"/>
  <c r="BB25" i="11"/>
  <c r="BC25" i="11"/>
  <c r="BD25" i="11"/>
  <c r="AN26" i="11"/>
  <c r="AT26" i="11"/>
  <c r="AO26" i="11"/>
  <c r="K26" i="11" s="1"/>
  <c r="AP26" i="11"/>
  <c r="P26" i="11" s="1"/>
  <c r="AQ26" i="11"/>
  <c r="U26" i="11"/>
  <c r="AR26" i="11"/>
  <c r="Z26" i="11" s="1"/>
  <c r="BA26" i="11"/>
  <c r="BB26" i="11"/>
  <c r="BC26" i="11"/>
  <c r="BD26" i="11"/>
  <c r="AN27" i="11"/>
  <c r="AT27" i="11" s="1"/>
  <c r="AO27" i="11"/>
  <c r="K27" i="11"/>
  <c r="AP27" i="11"/>
  <c r="AV27" i="11" s="1"/>
  <c r="AQ27" i="11"/>
  <c r="AW27" i="11" s="1"/>
  <c r="AR27" i="11"/>
  <c r="Z27" i="11"/>
  <c r="BA27" i="11"/>
  <c r="BB27" i="11"/>
  <c r="BC27" i="11"/>
  <c r="BD27" i="11"/>
  <c r="AN28" i="11"/>
  <c r="AT28" i="11" s="1"/>
  <c r="AO28" i="11"/>
  <c r="K28" i="11" s="1"/>
  <c r="AP28" i="11"/>
  <c r="P28" i="11"/>
  <c r="AQ28" i="11"/>
  <c r="AW28" i="11" s="1"/>
  <c r="AR28" i="11"/>
  <c r="AX28" i="11" s="1"/>
  <c r="BA28" i="11"/>
  <c r="BB28" i="11"/>
  <c r="BC28" i="11"/>
  <c r="BD28" i="11"/>
  <c r="AN29" i="11"/>
  <c r="AT29" i="11" s="1"/>
  <c r="AO29" i="11"/>
  <c r="AU29" i="11" s="1"/>
  <c r="AP29" i="11"/>
  <c r="AV29" i="11" s="1"/>
  <c r="AQ29" i="11"/>
  <c r="AW29" i="11"/>
  <c r="AR29" i="11"/>
  <c r="BA29" i="11"/>
  <c r="BB29" i="11"/>
  <c r="BC29" i="11"/>
  <c r="BD29" i="11"/>
  <c r="AN30" i="11"/>
  <c r="AT30" i="11" s="1"/>
  <c r="AO30" i="11"/>
  <c r="AU30" i="11" s="1"/>
  <c r="AP30" i="11"/>
  <c r="AV30" i="11" s="1"/>
  <c r="AQ30" i="11"/>
  <c r="AW30" i="11" s="1"/>
  <c r="AR30" i="11"/>
  <c r="BA30" i="11"/>
  <c r="BB30" i="11"/>
  <c r="BC30" i="11"/>
  <c r="BD30" i="11"/>
  <c r="BE30" i="11" s="1"/>
  <c r="AH30" i="11" s="1"/>
  <c r="AN31" i="11"/>
  <c r="AT31" i="11"/>
  <c r="AO31" i="11"/>
  <c r="K31" i="11"/>
  <c r="AP31" i="11"/>
  <c r="AV31" i="11"/>
  <c r="AQ31" i="11"/>
  <c r="AW31" i="11"/>
  <c r="AR31" i="11"/>
  <c r="AX31" i="11"/>
  <c r="BA31" i="11"/>
  <c r="BB31" i="11"/>
  <c r="BC31" i="11"/>
  <c r="BD31" i="11"/>
  <c r="AN32" i="11"/>
  <c r="AT32" i="11"/>
  <c r="AY32" i="11" s="1"/>
  <c r="AE32" i="11" s="1"/>
  <c r="AO32" i="11"/>
  <c r="K32" i="11"/>
  <c r="AP32" i="11"/>
  <c r="P32" i="11"/>
  <c r="AQ32" i="11"/>
  <c r="AW32" i="11"/>
  <c r="AR32" i="11"/>
  <c r="AX32" i="11"/>
  <c r="BA32" i="11"/>
  <c r="BB32" i="11"/>
  <c r="BC32" i="11"/>
  <c r="BD32" i="11"/>
  <c r="AN33" i="11"/>
  <c r="AO33" i="11"/>
  <c r="AU33" i="11"/>
  <c r="AP33" i="11"/>
  <c r="AV33" i="11" s="1"/>
  <c r="AQ33" i="11"/>
  <c r="AW33" i="11"/>
  <c r="AR33" i="11"/>
  <c r="AX33" i="11" s="1"/>
  <c r="BA33" i="11"/>
  <c r="BB33" i="11"/>
  <c r="BC33" i="11"/>
  <c r="BD33" i="11"/>
  <c r="AN34" i="11"/>
  <c r="AT34" i="11" s="1"/>
  <c r="AO34" i="11"/>
  <c r="AU34" i="11"/>
  <c r="AP34" i="11"/>
  <c r="AV34" i="11" s="1"/>
  <c r="AQ34" i="11"/>
  <c r="AR34" i="11"/>
  <c r="AX34" i="11"/>
  <c r="BA34" i="11"/>
  <c r="BB34" i="11"/>
  <c r="BC34" i="11"/>
  <c r="BD34" i="11"/>
  <c r="AN35" i="11"/>
  <c r="AT35" i="11" s="1"/>
  <c r="AO35" i="11"/>
  <c r="AU35" i="11" s="1"/>
  <c r="AP35" i="11"/>
  <c r="AV35" i="11"/>
  <c r="AQ35" i="11"/>
  <c r="AW35" i="11"/>
  <c r="AR35" i="11"/>
  <c r="Z35" i="11" s="1"/>
  <c r="BN35" i="11"/>
  <c r="BA35" i="11"/>
  <c r="BB35" i="11"/>
  <c r="BC35" i="11"/>
  <c r="BD35" i="11"/>
  <c r="AN36" i="11"/>
  <c r="AT36" i="11"/>
  <c r="AO36" i="11"/>
  <c r="AU36" i="11"/>
  <c r="AP36" i="11"/>
  <c r="AQ36" i="11"/>
  <c r="AW36" i="11"/>
  <c r="AR36" i="11"/>
  <c r="AX36" i="11"/>
  <c r="BA36" i="11"/>
  <c r="BB36" i="11"/>
  <c r="BC36" i="11"/>
  <c r="BD36" i="11"/>
  <c r="AN37" i="11"/>
  <c r="G37" i="11" s="1"/>
  <c r="AO37" i="11"/>
  <c r="K37" i="11" s="1"/>
  <c r="AP37" i="11"/>
  <c r="AV37" i="11" s="1"/>
  <c r="AQ37" i="11"/>
  <c r="AW37" i="11" s="1"/>
  <c r="AR37" i="11"/>
  <c r="AX37" i="11"/>
  <c r="BA37" i="11"/>
  <c r="BE37" i="11" s="1"/>
  <c r="AH37" i="11" s="1"/>
  <c r="BB37" i="11"/>
  <c r="BC37" i="11"/>
  <c r="BD37" i="11"/>
  <c r="AN38" i="11"/>
  <c r="G38" i="11"/>
  <c r="AO38" i="11"/>
  <c r="AU38" i="11" s="1"/>
  <c r="AP38" i="11"/>
  <c r="AQ38" i="11"/>
  <c r="AW38" i="11"/>
  <c r="AR38" i="11"/>
  <c r="AX38" i="11"/>
  <c r="BA38" i="11"/>
  <c r="BB38" i="11"/>
  <c r="BC38" i="11"/>
  <c r="BE38" i="11" s="1"/>
  <c r="AH38" i="11" s="1"/>
  <c r="BD38" i="11"/>
  <c r="AN39" i="11"/>
  <c r="G39" i="11" s="1"/>
  <c r="AO39" i="11"/>
  <c r="AU39" i="11"/>
  <c r="AP39" i="11"/>
  <c r="AV39" i="11"/>
  <c r="AQ39" i="11"/>
  <c r="U39" i="11"/>
  <c r="AR39" i="11"/>
  <c r="AX39" i="11"/>
  <c r="BG39" i="11"/>
  <c r="BA39" i="11"/>
  <c r="BB39" i="11"/>
  <c r="BC39" i="11"/>
  <c r="BD39" i="11"/>
  <c r="AN40" i="11"/>
  <c r="AO40" i="11"/>
  <c r="AP40" i="11"/>
  <c r="AV40" i="11"/>
  <c r="AQ40" i="11"/>
  <c r="AW40" i="11" s="1"/>
  <c r="AR40" i="11"/>
  <c r="AX40" i="11" s="1"/>
  <c r="BL40" i="11"/>
  <c r="BA40" i="11"/>
  <c r="BB40" i="11"/>
  <c r="BC40" i="11"/>
  <c r="BD40" i="11"/>
  <c r="AN41" i="11"/>
  <c r="G41" i="11"/>
  <c r="AO41" i="11"/>
  <c r="AU41" i="11" s="1"/>
  <c r="AP41" i="11"/>
  <c r="AV41" i="11"/>
  <c r="AQ41" i="11"/>
  <c r="AW41" i="11"/>
  <c r="AR41" i="11"/>
  <c r="AX41" i="11"/>
  <c r="BA41" i="11"/>
  <c r="BB41" i="11"/>
  <c r="BC41" i="11"/>
  <c r="BD41" i="11"/>
  <c r="AN42" i="11"/>
  <c r="AT42" i="11"/>
  <c r="AO42" i="11"/>
  <c r="AP42" i="11"/>
  <c r="AV42" i="11"/>
  <c r="AQ42" i="11"/>
  <c r="AW42" i="11" s="1"/>
  <c r="AR42" i="11"/>
  <c r="AX42" i="11"/>
  <c r="BG42" i="11"/>
  <c r="BA42" i="11"/>
  <c r="BB42" i="11"/>
  <c r="BC42" i="11"/>
  <c r="BD42" i="11"/>
  <c r="AN43" i="11"/>
  <c r="AT43" i="11"/>
  <c r="AO43" i="11"/>
  <c r="AU43" i="11"/>
  <c r="AP43" i="11"/>
  <c r="AV43" i="11"/>
  <c r="AQ43" i="11"/>
  <c r="AW43" i="11"/>
  <c r="AR43" i="11"/>
  <c r="AX43" i="11"/>
  <c r="BA43" i="11"/>
  <c r="BB43" i="11"/>
  <c r="BC43" i="11"/>
  <c r="BD43" i="11"/>
  <c r="AN44" i="11"/>
  <c r="G44" i="11"/>
  <c r="AO44" i="11"/>
  <c r="K44" i="11"/>
  <c r="AP44" i="11"/>
  <c r="P44" i="11"/>
  <c r="AQ44" i="11"/>
  <c r="AR44" i="11"/>
  <c r="AX44" i="11"/>
  <c r="BA44" i="11"/>
  <c r="BE44" i="11" s="1"/>
  <c r="AH44" i="11" s="1"/>
  <c r="BB44" i="11"/>
  <c r="BC44" i="11"/>
  <c r="BD44" i="11"/>
  <c r="AN45" i="11"/>
  <c r="AT45" i="11" s="1"/>
  <c r="AO45" i="11"/>
  <c r="AU45" i="11" s="1"/>
  <c r="AP45" i="11"/>
  <c r="P45" i="11" s="1"/>
  <c r="AQ45" i="11"/>
  <c r="U45" i="11" s="1"/>
  <c r="AR45" i="11"/>
  <c r="AX45" i="11"/>
  <c r="BI45" i="11"/>
  <c r="BM45" i="11"/>
  <c r="BA45" i="11"/>
  <c r="BB45" i="11"/>
  <c r="BC45" i="11"/>
  <c r="BD45" i="11"/>
  <c r="AN46" i="11"/>
  <c r="AO46" i="11"/>
  <c r="K46" i="11" s="1"/>
  <c r="AP46" i="11"/>
  <c r="AV46" i="11" s="1"/>
  <c r="AQ46" i="11"/>
  <c r="AW46" i="11" s="1"/>
  <c r="AR46" i="11"/>
  <c r="AX46" i="11"/>
  <c r="BA46" i="11"/>
  <c r="BB46" i="11"/>
  <c r="BC46" i="11"/>
  <c r="BD46" i="11"/>
  <c r="AN47" i="11"/>
  <c r="AO47" i="11"/>
  <c r="K47" i="11"/>
  <c r="AP47" i="11"/>
  <c r="P47" i="11"/>
  <c r="AQ47" i="11"/>
  <c r="AW47" i="11"/>
  <c r="AR47" i="11"/>
  <c r="AX47" i="11"/>
  <c r="BL47" i="11"/>
  <c r="BA47" i="11"/>
  <c r="BB47" i="11"/>
  <c r="BE47" i="11" s="1"/>
  <c r="AH47" i="11" s="1"/>
  <c r="BC47" i="11"/>
  <c r="BD47" i="11"/>
  <c r="AN48" i="11"/>
  <c r="AT48" i="11" s="1"/>
  <c r="AO48" i="11"/>
  <c r="AU48" i="11"/>
  <c r="AP48" i="11"/>
  <c r="AV48" i="11" s="1"/>
  <c r="AQ48" i="11"/>
  <c r="AW48" i="11" s="1"/>
  <c r="AR48" i="11"/>
  <c r="AX48" i="11" s="1"/>
  <c r="BM48" i="11"/>
  <c r="BA48" i="11"/>
  <c r="BB48" i="11"/>
  <c r="BC48" i="11"/>
  <c r="BD48" i="11"/>
  <c r="AN49" i="11"/>
  <c r="G49" i="11" s="1"/>
  <c r="AO49" i="11"/>
  <c r="AU49" i="11"/>
  <c r="AP49" i="11"/>
  <c r="AV49" i="11"/>
  <c r="AQ49" i="11"/>
  <c r="AW49" i="11"/>
  <c r="AR49" i="11"/>
  <c r="BA49" i="11"/>
  <c r="BB49" i="11"/>
  <c r="BC49" i="11"/>
  <c r="BD49" i="11"/>
  <c r="AN50" i="11"/>
  <c r="AT50" i="11"/>
  <c r="AO50" i="11"/>
  <c r="K50" i="11" s="1"/>
  <c r="AP50" i="11"/>
  <c r="AV50" i="11" s="1"/>
  <c r="AQ50" i="11"/>
  <c r="AW50" i="11"/>
  <c r="AR50" i="11"/>
  <c r="AX50" i="11" s="1"/>
  <c r="BN50" i="11"/>
  <c r="BA50" i="11"/>
  <c r="BB50" i="11"/>
  <c r="BC50" i="11"/>
  <c r="BD50" i="11"/>
  <c r="AN51" i="11"/>
  <c r="AT51" i="11"/>
  <c r="AO51" i="11"/>
  <c r="K51" i="11"/>
  <c r="AP51" i="11"/>
  <c r="AQ51" i="11"/>
  <c r="U51" i="11"/>
  <c r="AR51" i="11"/>
  <c r="AX51" i="11"/>
  <c r="BH51" i="11"/>
  <c r="BN51" i="11"/>
  <c r="BA51" i="11"/>
  <c r="BB51" i="11"/>
  <c r="BC51" i="11"/>
  <c r="BD51" i="11"/>
  <c r="AN52" i="11"/>
  <c r="AT52" i="11"/>
  <c r="AO52" i="11"/>
  <c r="K52" i="11"/>
  <c r="AP52" i="11"/>
  <c r="AQ52" i="11"/>
  <c r="AW52" i="11"/>
  <c r="AR52" i="11"/>
  <c r="Z52" i="11"/>
  <c r="BA52" i="11"/>
  <c r="BB52" i="11"/>
  <c r="BC52" i="11"/>
  <c r="BD52" i="11"/>
  <c r="AN53" i="11"/>
  <c r="AT53" i="11"/>
  <c r="AO53" i="11"/>
  <c r="AU53" i="11"/>
  <c r="AP53" i="11"/>
  <c r="P53" i="11"/>
  <c r="AQ53" i="11"/>
  <c r="AR53" i="11"/>
  <c r="AX53" i="11"/>
  <c r="BG53" i="11"/>
  <c r="BA53" i="11"/>
  <c r="BB53" i="11"/>
  <c r="BC53" i="11"/>
  <c r="BD53" i="11"/>
  <c r="AN54" i="11"/>
  <c r="AT54" i="11" s="1"/>
  <c r="AO54" i="11"/>
  <c r="AU54" i="11" s="1"/>
  <c r="AP54" i="11"/>
  <c r="AV54" i="11"/>
  <c r="AQ54" i="11"/>
  <c r="AW54" i="11"/>
  <c r="AR54" i="11"/>
  <c r="Z54" i="11" s="1"/>
  <c r="BH54" i="11"/>
  <c r="BL54" i="11"/>
  <c r="BA54" i="11"/>
  <c r="BB54" i="11"/>
  <c r="BC54" i="11"/>
  <c r="BD54" i="11"/>
  <c r="AN55" i="11"/>
  <c r="AT55" i="11" s="1"/>
  <c r="AO55" i="11"/>
  <c r="AU55" i="11" s="1"/>
  <c r="AP55" i="11"/>
  <c r="AV55" i="11"/>
  <c r="AQ55" i="11"/>
  <c r="AW55" i="11" s="1"/>
  <c r="AY55" i="11" s="1"/>
  <c r="AE55" i="11" s="1"/>
  <c r="AR55" i="11"/>
  <c r="AX55" i="11" s="1"/>
  <c r="BA55" i="11"/>
  <c r="BB55" i="11"/>
  <c r="BC55" i="11"/>
  <c r="BE55" i="11" s="1"/>
  <c r="AH55" i="11" s="1"/>
  <c r="BD55" i="11"/>
  <c r="AN56" i="11"/>
  <c r="AT56" i="11" s="1"/>
  <c r="AY56" i="11" s="1"/>
  <c r="AE56" i="11" s="1"/>
  <c r="AO56" i="11"/>
  <c r="AU56" i="11" s="1"/>
  <c r="AP56" i="11"/>
  <c r="P56" i="11" s="1"/>
  <c r="AQ56" i="11"/>
  <c r="AW56" i="11"/>
  <c r="AR56" i="11"/>
  <c r="AX56" i="11"/>
  <c r="BA56" i="11"/>
  <c r="BB56" i="11"/>
  <c r="BC56" i="11"/>
  <c r="BD56" i="11"/>
  <c r="AN57" i="11"/>
  <c r="G57" i="11" s="1"/>
  <c r="AO57" i="11"/>
  <c r="AU57" i="11" s="1"/>
  <c r="AP57" i="11"/>
  <c r="AV57" i="11" s="1"/>
  <c r="AQ57" i="11"/>
  <c r="AW57" i="11" s="1"/>
  <c r="AY57" i="11" s="1"/>
  <c r="AE57" i="11" s="1"/>
  <c r="AR57" i="11"/>
  <c r="AX57" i="11"/>
  <c r="BH57" i="11"/>
  <c r="BA57" i="11"/>
  <c r="BB57" i="11"/>
  <c r="BC57" i="11"/>
  <c r="BD57" i="11"/>
  <c r="AN58" i="11"/>
  <c r="AT58" i="11"/>
  <c r="AO58" i="11"/>
  <c r="AU58" i="11"/>
  <c r="AP58" i="11"/>
  <c r="AQ58" i="11"/>
  <c r="U58" i="11" s="1"/>
  <c r="AR58" i="11"/>
  <c r="AX58" i="11" s="1"/>
  <c r="BA58" i="11"/>
  <c r="BB58" i="11"/>
  <c r="BE58" i="11" s="1"/>
  <c r="AH58" i="11" s="1"/>
  <c r="BC58" i="11"/>
  <c r="BD58" i="11"/>
  <c r="AN59" i="11"/>
  <c r="AT59" i="11" s="1"/>
  <c r="AY59" i="11" s="1"/>
  <c r="AE59" i="11" s="1"/>
  <c r="AO59" i="11"/>
  <c r="AU59" i="11"/>
  <c r="AP59" i="11"/>
  <c r="AV59" i="11" s="1"/>
  <c r="AQ59" i="11"/>
  <c r="AW59" i="11" s="1"/>
  <c r="AR59" i="11"/>
  <c r="AX59" i="11" s="1"/>
  <c r="BA59" i="11"/>
  <c r="BB59" i="11"/>
  <c r="BC59" i="11"/>
  <c r="BD59" i="11"/>
  <c r="AN60" i="11"/>
  <c r="AT60" i="11"/>
  <c r="AO60" i="11"/>
  <c r="AU60" i="11" s="1"/>
  <c r="AP60" i="11"/>
  <c r="P60" i="11"/>
  <c r="AQ60" i="11"/>
  <c r="AR60" i="11"/>
  <c r="Z60" i="11" s="1"/>
  <c r="BI60" i="11"/>
  <c r="BA60" i="11"/>
  <c r="BB60" i="11"/>
  <c r="BC60" i="11"/>
  <c r="BD60" i="11"/>
  <c r="AN61" i="11"/>
  <c r="G61" i="11" s="1"/>
  <c r="AO61" i="11"/>
  <c r="AU61" i="11" s="1"/>
  <c r="AP61" i="11"/>
  <c r="AV61" i="11"/>
  <c r="AQ61" i="11"/>
  <c r="AW61" i="11"/>
  <c r="AR61" i="11"/>
  <c r="AX61" i="11"/>
  <c r="BI61" i="11"/>
  <c r="BM61" i="11"/>
  <c r="BA61" i="11"/>
  <c r="BB61" i="11"/>
  <c r="BC61" i="11"/>
  <c r="BD61" i="11"/>
  <c r="AN62" i="11"/>
  <c r="G62" i="11" s="1"/>
  <c r="AO62" i="11"/>
  <c r="K62" i="11" s="1"/>
  <c r="AP62" i="11"/>
  <c r="AV62" i="11"/>
  <c r="AQ62" i="11"/>
  <c r="AW62" i="11"/>
  <c r="AR62" i="11"/>
  <c r="Z62" i="11"/>
  <c r="BN62" i="11"/>
  <c r="BA62" i="11"/>
  <c r="BB62" i="11"/>
  <c r="BC62" i="11"/>
  <c r="BD62" i="11"/>
  <c r="AN63" i="11"/>
  <c r="AO63" i="11"/>
  <c r="K63" i="11" s="1"/>
  <c r="AP63" i="11"/>
  <c r="AV63" i="11" s="1"/>
  <c r="AQ63" i="11"/>
  <c r="AW63" i="11"/>
  <c r="AR63" i="11"/>
  <c r="AX63" i="11"/>
  <c r="BA63" i="11"/>
  <c r="BB63" i="11"/>
  <c r="BC63" i="11"/>
  <c r="BD63" i="11"/>
  <c r="AN64" i="11"/>
  <c r="AT64" i="11"/>
  <c r="AO64" i="11"/>
  <c r="K64" i="11"/>
  <c r="AP64" i="11"/>
  <c r="AV64" i="11" s="1"/>
  <c r="AQ64" i="11"/>
  <c r="AW64" i="11" s="1"/>
  <c r="AR64" i="11"/>
  <c r="Z64" i="11"/>
  <c r="BG64" i="11"/>
  <c r="BM64" i="11"/>
  <c r="BA64" i="11"/>
  <c r="BB64" i="11"/>
  <c r="BC64" i="11"/>
  <c r="BD64" i="11"/>
  <c r="AN65" i="11"/>
  <c r="AT65" i="11"/>
  <c r="AO65" i="11"/>
  <c r="K65" i="11" s="1"/>
  <c r="AP65" i="11"/>
  <c r="AV65" i="11"/>
  <c r="AQ65" i="11"/>
  <c r="U65" i="11"/>
  <c r="AR65" i="11"/>
  <c r="AX65" i="11"/>
  <c r="BI65" i="11"/>
  <c r="BN65" i="11"/>
  <c r="BA65" i="11"/>
  <c r="BB65" i="11"/>
  <c r="BC65" i="11"/>
  <c r="BD65" i="11"/>
  <c r="AN66" i="11"/>
  <c r="AT66" i="11"/>
  <c r="AO66" i="11"/>
  <c r="K66" i="11" s="1"/>
  <c r="AP66" i="11"/>
  <c r="AV66" i="11"/>
  <c r="AQ66" i="11"/>
  <c r="AW66" i="11" s="1"/>
  <c r="AR66" i="11"/>
  <c r="Z66" i="11"/>
  <c r="BA66" i="11"/>
  <c r="BB66" i="11"/>
  <c r="BC66" i="11"/>
  <c r="BD66" i="11"/>
  <c r="AN67" i="11"/>
  <c r="AT67" i="11" s="1"/>
  <c r="AO67" i="11"/>
  <c r="AP67" i="11"/>
  <c r="AV67" i="11" s="1"/>
  <c r="AQ67" i="11"/>
  <c r="AW67" i="11"/>
  <c r="AR67" i="11"/>
  <c r="AX67" i="11" s="1"/>
  <c r="BI67" i="11"/>
  <c r="BA67" i="11"/>
  <c r="BB67" i="11"/>
  <c r="BC67" i="11"/>
  <c r="BD67" i="11"/>
  <c r="AN68" i="11"/>
  <c r="AT68" i="11"/>
  <c r="AO68" i="11"/>
  <c r="AU68" i="11" s="1"/>
  <c r="AP68" i="11"/>
  <c r="AV68" i="11"/>
  <c r="AQ68" i="11"/>
  <c r="AW68" i="11" s="1"/>
  <c r="AY68" i="11" s="1"/>
  <c r="AE68" i="11" s="1"/>
  <c r="AR68" i="11"/>
  <c r="Z68" i="11" s="1"/>
  <c r="BG68" i="11"/>
  <c r="BL68" i="11"/>
  <c r="BN68" i="11"/>
  <c r="BA68" i="11"/>
  <c r="BB68" i="11"/>
  <c r="BC68" i="11"/>
  <c r="BD68" i="11"/>
  <c r="AN69" i="11"/>
  <c r="AT69" i="11" s="1"/>
  <c r="AO69" i="11"/>
  <c r="K69" i="11"/>
  <c r="AP69" i="11"/>
  <c r="AV69" i="11" s="1"/>
  <c r="AQ69" i="11"/>
  <c r="AW69" i="11"/>
  <c r="AR69" i="11"/>
  <c r="BA69" i="11"/>
  <c r="BB69" i="11"/>
  <c r="BC69" i="11"/>
  <c r="BD69" i="11"/>
  <c r="AN70" i="11"/>
  <c r="AT70" i="11" s="1"/>
  <c r="AO70" i="11"/>
  <c r="AU70" i="11" s="1"/>
  <c r="AP70" i="11"/>
  <c r="AV70" i="11"/>
  <c r="AQ70" i="11"/>
  <c r="AW70" i="11" s="1"/>
  <c r="AR70" i="11"/>
  <c r="AX70" i="11"/>
  <c r="BA70" i="11"/>
  <c r="BB70" i="11"/>
  <c r="BC70" i="11"/>
  <c r="BD70" i="11"/>
  <c r="AN71" i="11"/>
  <c r="AT71" i="11" s="1"/>
  <c r="AO71" i="11"/>
  <c r="K71" i="11" s="1"/>
  <c r="AP71" i="11"/>
  <c r="AV71" i="11" s="1"/>
  <c r="AQ71" i="11"/>
  <c r="U71" i="11"/>
  <c r="AR71" i="11"/>
  <c r="Z71" i="11" s="1"/>
  <c r="BG71" i="11"/>
  <c r="BM71" i="11"/>
  <c r="BA71" i="11"/>
  <c r="BB71" i="11"/>
  <c r="BC71" i="11"/>
  <c r="BD71" i="11"/>
  <c r="AN72" i="11"/>
  <c r="AT72" i="11" s="1"/>
  <c r="AO72" i="11"/>
  <c r="AP72" i="11"/>
  <c r="AV72" i="11" s="1"/>
  <c r="AQ72" i="11"/>
  <c r="AW72" i="11"/>
  <c r="AR72" i="11"/>
  <c r="AX72" i="11" s="1"/>
  <c r="BI72" i="11"/>
  <c r="BN72" i="11"/>
  <c r="BA72" i="11"/>
  <c r="BB72" i="11"/>
  <c r="BC72" i="11"/>
  <c r="BD72" i="11"/>
  <c r="AN73" i="11"/>
  <c r="AT73" i="11" s="1"/>
  <c r="AO73" i="11"/>
  <c r="K73" i="11" s="1"/>
  <c r="AP73" i="11"/>
  <c r="AV73" i="11" s="1"/>
  <c r="AQ73" i="11"/>
  <c r="U73" i="11"/>
  <c r="AR73" i="11"/>
  <c r="Z73" i="11" s="1"/>
  <c r="BA73" i="11"/>
  <c r="BB73" i="11"/>
  <c r="BE73" i="11" s="1"/>
  <c r="AH73" i="11" s="1"/>
  <c r="BC73" i="11"/>
  <c r="BD73" i="11"/>
  <c r="AN74" i="11"/>
  <c r="AT74" i="11" s="1"/>
  <c r="AO74" i="11"/>
  <c r="AU74" i="11"/>
  <c r="AP74" i="11"/>
  <c r="AV74" i="11" s="1"/>
  <c r="AQ74" i="11"/>
  <c r="AW74" i="11" s="1"/>
  <c r="AR74" i="11"/>
  <c r="AX74" i="11"/>
  <c r="BA74" i="11"/>
  <c r="BB74" i="11"/>
  <c r="BC74" i="11"/>
  <c r="BD74" i="11"/>
  <c r="AN75" i="11"/>
  <c r="G75" i="11" s="1"/>
  <c r="AT75" i="11"/>
  <c r="AO75" i="11"/>
  <c r="AP75" i="11"/>
  <c r="AV75" i="11"/>
  <c r="AQ75" i="11"/>
  <c r="U75" i="11" s="1"/>
  <c r="AR75" i="11"/>
  <c r="AX75" i="11" s="1"/>
  <c r="BG75" i="11"/>
  <c r="BM75" i="11"/>
  <c r="BA75" i="11"/>
  <c r="BB75" i="11"/>
  <c r="BC75" i="11"/>
  <c r="BD75" i="11"/>
  <c r="AN76" i="11"/>
  <c r="AT76" i="11" s="1"/>
  <c r="AO76" i="11"/>
  <c r="K76" i="11" s="1"/>
  <c r="AP76" i="11"/>
  <c r="AQ76" i="11"/>
  <c r="U76" i="11" s="1"/>
  <c r="AW76" i="11"/>
  <c r="AR76" i="11"/>
  <c r="AX76" i="11"/>
  <c r="BI76" i="11"/>
  <c r="BN76" i="11"/>
  <c r="BA76" i="11"/>
  <c r="BB76" i="11"/>
  <c r="BC76" i="11"/>
  <c r="BD76" i="11"/>
  <c r="AN77" i="11"/>
  <c r="G77" i="11" s="1"/>
  <c r="AO77" i="11"/>
  <c r="AU77" i="11" s="1"/>
  <c r="AP77" i="11"/>
  <c r="P77" i="11" s="1"/>
  <c r="AQ77" i="11"/>
  <c r="U77" i="11"/>
  <c r="AR77" i="11"/>
  <c r="AX77" i="11"/>
  <c r="BA77" i="11"/>
  <c r="BB77" i="11"/>
  <c r="BE77" i="11" s="1"/>
  <c r="AH77" i="11" s="1"/>
  <c r="BC77" i="11"/>
  <c r="BD77" i="11"/>
  <c r="AN78" i="11"/>
  <c r="AT78" i="11"/>
  <c r="AO78" i="11"/>
  <c r="AU78" i="11"/>
  <c r="AP78" i="11"/>
  <c r="AV78" i="11" s="1"/>
  <c r="AQ78" i="11"/>
  <c r="U78" i="11" s="1"/>
  <c r="AR78" i="11"/>
  <c r="AX78" i="11"/>
  <c r="BH78" i="11"/>
  <c r="BA78" i="11"/>
  <c r="BB78" i="11"/>
  <c r="BC78" i="11"/>
  <c r="BD78" i="11"/>
  <c r="AN79" i="11"/>
  <c r="G79" i="11" s="1"/>
  <c r="AO79" i="11"/>
  <c r="AU79" i="11"/>
  <c r="AP79" i="11"/>
  <c r="AQ79" i="11"/>
  <c r="AW79" i="11"/>
  <c r="AR79" i="11"/>
  <c r="AX79" i="11" s="1"/>
  <c r="BH79" i="11"/>
  <c r="BL79" i="11"/>
  <c r="BA79" i="11"/>
  <c r="BB79" i="11"/>
  <c r="BC79" i="11"/>
  <c r="BD79" i="11"/>
  <c r="BE79" i="11" s="1"/>
  <c r="AH79" i="11" s="1"/>
  <c r="AN80" i="11"/>
  <c r="G80" i="11"/>
  <c r="AO80" i="11"/>
  <c r="AP80" i="11"/>
  <c r="AV80" i="11"/>
  <c r="AQ80" i="11"/>
  <c r="U80" i="11"/>
  <c r="AR80" i="11"/>
  <c r="AX80" i="11" s="1"/>
  <c r="BN80" i="11"/>
  <c r="BA80" i="11"/>
  <c r="BB80" i="11"/>
  <c r="BC80" i="11"/>
  <c r="BD80" i="11"/>
  <c r="AN81" i="11"/>
  <c r="G81" i="11"/>
  <c r="AO81" i="11"/>
  <c r="AU81" i="11"/>
  <c r="AP81" i="11"/>
  <c r="AV81" i="11"/>
  <c r="AQ81" i="11"/>
  <c r="AW81" i="11"/>
  <c r="AR81" i="11"/>
  <c r="Z81" i="11"/>
  <c r="BA81" i="11"/>
  <c r="BB81" i="11"/>
  <c r="BC81" i="11"/>
  <c r="BD81" i="11"/>
  <c r="AN82" i="11"/>
  <c r="AT82" i="11"/>
  <c r="AO82" i="11"/>
  <c r="K82" i="11"/>
  <c r="AP82" i="11"/>
  <c r="AV82" i="11"/>
  <c r="AQ82" i="11"/>
  <c r="AW82" i="11"/>
  <c r="AR82" i="11"/>
  <c r="AX82" i="11"/>
  <c r="BH82" i="11"/>
  <c r="BN82" i="11"/>
  <c r="BA82" i="11"/>
  <c r="BB82" i="11"/>
  <c r="BC82" i="11"/>
  <c r="BD82" i="11"/>
  <c r="AN83" i="11"/>
  <c r="G83" i="11"/>
  <c r="AO83" i="11"/>
  <c r="AP83" i="11"/>
  <c r="AQ83" i="11"/>
  <c r="AW83" i="11" s="1"/>
  <c r="AR83" i="11"/>
  <c r="AX83" i="11"/>
  <c r="BL83" i="11"/>
  <c r="BA83" i="11"/>
  <c r="BB83" i="11"/>
  <c r="BC83" i="11"/>
  <c r="BD83" i="11"/>
  <c r="AN84" i="11"/>
  <c r="AT84" i="11"/>
  <c r="AO84" i="11"/>
  <c r="AU84" i="11"/>
  <c r="AP84" i="11"/>
  <c r="P84" i="11"/>
  <c r="AQ84" i="11"/>
  <c r="U84" i="11"/>
  <c r="AR84" i="11"/>
  <c r="AX84" i="11"/>
  <c r="BA84" i="11"/>
  <c r="BB84" i="11"/>
  <c r="BC84" i="11"/>
  <c r="BD84" i="11"/>
  <c r="AN85" i="11"/>
  <c r="G85" i="11" s="1"/>
  <c r="AO85" i="11"/>
  <c r="AU85" i="11" s="1"/>
  <c r="AY85" i="11" s="1"/>
  <c r="AE85" i="11" s="1"/>
  <c r="AP85" i="11"/>
  <c r="AV85" i="11"/>
  <c r="AQ85" i="11"/>
  <c r="AW85" i="11"/>
  <c r="AR85" i="11"/>
  <c r="AX85" i="11"/>
  <c r="BH85" i="11"/>
  <c r="BA85" i="11"/>
  <c r="BB85" i="11"/>
  <c r="BE85" i="11" s="1"/>
  <c r="AH85" i="11" s="1"/>
  <c r="BC85" i="11"/>
  <c r="BD85" i="11"/>
  <c r="AN86" i="11"/>
  <c r="G86" i="11" s="1"/>
  <c r="AO86" i="11"/>
  <c r="K86" i="11"/>
  <c r="AP86" i="11"/>
  <c r="AV86" i="11" s="1"/>
  <c r="AQ86" i="11"/>
  <c r="AW86" i="11" s="1"/>
  <c r="AR86" i="11"/>
  <c r="AX86" i="11" s="1"/>
  <c r="BH86" i="11"/>
  <c r="BL86" i="11"/>
  <c r="BA86" i="11"/>
  <c r="BB86" i="11"/>
  <c r="BC86" i="11"/>
  <c r="BD86" i="11"/>
  <c r="AN87" i="11"/>
  <c r="AO87" i="11"/>
  <c r="AU87" i="11"/>
  <c r="AP87" i="11"/>
  <c r="AV87" i="11" s="1"/>
  <c r="AQ87" i="11"/>
  <c r="AW87" i="11" s="1"/>
  <c r="AR87" i="11"/>
  <c r="AX87" i="11" s="1"/>
  <c r="BM87" i="11"/>
  <c r="BA87" i="11"/>
  <c r="BB87" i="11"/>
  <c r="BC87" i="11"/>
  <c r="BD87" i="11"/>
  <c r="AN88" i="11"/>
  <c r="G88" i="11" s="1"/>
  <c r="AO88" i="11"/>
  <c r="AU88" i="11" s="1"/>
  <c r="AP88" i="11"/>
  <c r="AQ88" i="11"/>
  <c r="U88" i="11"/>
  <c r="AR88" i="11"/>
  <c r="Z88" i="11"/>
  <c r="BA88" i="11"/>
  <c r="BB88" i="11"/>
  <c r="BC88" i="11"/>
  <c r="BD88" i="11"/>
  <c r="AN89" i="11"/>
  <c r="AT89" i="11"/>
  <c r="AO89" i="11"/>
  <c r="AU89" i="11" s="1"/>
  <c r="AP89" i="11"/>
  <c r="AV89" i="11" s="1"/>
  <c r="AQ89" i="11"/>
  <c r="AR89" i="11"/>
  <c r="BI89" i="11"/>
  <c r="BA89" i="11"/>
  <c r="BB89" i="11"/>
  <c r="BE89" i="11" s="1"/>
  <c r="AH89" i="11" s="1"/>
  <c r="BC89" i="11"/>
  <c r="BD89" i="11"/>
  <c r="AN90" i="11"/>
  <c r="AT90" i="11"/>
  <c r="AO90" i="11"/>
  <c r="AP90" i="11"/>
  <c r="P90" i="11" s="1"/>
  <c r="AQ90" i="11"/>
  <c r="AR90" i="11"/>
  <c r="AX90" i="11" s="1"/>
  <c r="BG90" i="11"/>
  <c r="BL90" i="11"/>
  <c r="BN90" i="11"/>
  <c r="BA90" i="11"/>
  <c r="BB90" i="11"/>
  <c r="BC90" i="11"/>
  <c r="BE90" i="11" s="1"/>
  <c r="AH90" i="11" s="1"/>
  <c r="BD90" i="11"/>
  <c r="AN91" i="11"/>
  <c r="AT91" i="11" s="1"/>
  <c r="AO91" i="11"/>
  <c r="AU91" i="11"/>
  <c r="AP91" i="11"/>
  <c r="AV91" i="11"/>
  <c r="AQ91" i="11"/>
  <c r="AW91" i="11" s="1"/>
  <c r="AR91" i="11"/>
  <c r="Z91" i="11"/>
  <c r="BA91" i="11"/>
  <c r="BB91" i="11"/>
  <c r="BC91" i="11"/>
  <c r="BD91" i="11"/>
  <c r="AN92" i="11"/>
  <c r="AO92" i="11"/>
  <c r="AP92" i="11"/>
  <c r="AV92" i="11"/>
  <c r="AQ92" i="11"/>
  <c r="AW92" i="11"/>
  <c r="AR92" i="11"/>
  <c r="AX92" i="11" s="1"/>
  <c r="BG92" i="11"/>
  <c r="BA92" i="11"/>
  <c r="BB92" i="11"/>
  <c r="BC92" i="11"/>
  <c r="BD92" i="11"/>
  <c r="AN93" i="11"/>
  <c r="G93" i="11" s="1"/>
  <c r="AO93" i="11"/>
  <c r="AU93" i="11" s="1"/>
  <c r="AP93" i="11"/>
  <c r="AV93" i="11" s="1"/>
  <c r="AQ93" i="11"/>
  <c r="AW93" i="11"/>
  <c r="AR93" i="11"/>
  <c r="BH93" i="11"/>
  <c r="BL93" i="11"/>
  <c r="BA93" i="11"/>
  <c r="BB93" i="11"/>
  <c r="BC93" i="11"/>
  <c r="BD93" i="11"/>
  <c r="AN94" i="11"/>
  <c r="AT94" i="11" s="1"/>
  <c r="AO94" i="11"/>
  <c r="AP94" i="11"/>
  <c r="P94" i="11"/>
  <c r="AQ94" i="11"/>
  <c r="AW94" i="11"/>
  <c r="AR94" i="11"/>
  <c r="AX94" i="11" s="1"/>
  <c r="BM94" i="11"/>
  <c r="BA94" i="11"/>
  <c r="BB94" i="11"/>
  <c r="BC94" i="11"/>
  <c r="BD94" i="11"/>
  <c r="AN95" i="11"/>
  <c r="AT95" i="11" s="1"/>
  <c r="AO95" i="11"/>
  <c r="AU95" i="11" s="1"/>
  <c r="K95" i="11"/>
  <c r="AP95" i="11"/>
  <c r="AV95" i="11"/>
  <c r="AQ95" i="11"/>
  <c r="U95" i="11"/>
  <c r="AR95" i="11"/>
  <c r="AX95" i="11"/>
  <c r="BA95" i="11"/>
  <c r="BE95" i="11" s="1"/>
  <c r="AH95" i="11" s="1"/>
  <c r="AD95" i="11" s="1"/>
  <c r="AB95" i="11" s="1"/>
  <c r="BB95" i="11"/>
  <c r="BC95" i="11"/>
  <c r="BD95" i="11"/>
  <c r="AN96" i="11"/>
  <c r="AT96" i="11"/>
  <c r="AO96" i="11"/>
  <c r="AP96" i="11"/>
  <c r="AV96" i="11" s="1"/>
  <c r="AQ96" i="11"/>
  <c r="AW96" i="11" s="1"/>
  <c r="AR96" i="11"/>
  <c r="AX96" i="11" s="1"/>
  <c r="BI96" i="11"/>
  <c r="BA96" i="11"/>
  <c r="BB96" i="11"/>
  <c r="BC96" i="11"/>
  <c r="BD96" i="11"/>
  <c r="AN97" i="11"/>
  <c r="AT97" i="11" s="1"/>
  <c r="AO97" i="11"/>
  <c r="K97" i="11" s="1"/>
  <c r="AP97" i="11"/>
  <c r="AV97" i="11"/>
  <c r="AQ97" i="11"/>
  <c r="AR97" i="11"/>
  <c r="AX97" i="11" s="1"/>
  <c r="BI97" i="11"/>
  <c r="BM97" i="11"/>
  <c r="BA97" i="11"/>
  <c r="BB97" i="11"/>
  <c r="BC97" i="11"/>
  <c r="BD97" i="11"/>
  <c r="AN98" i="11"/>
  <c r="AT98" i="11" s="1"/>
  <c r="AO98" i="11"/>
  <c r="AP98" i="11"/>
  <c r="AV98" i="11"/>
  <c r="AQ98" i="11"/>
  <c r="U98" i="11"/>
  <c r="AR98" i="11"/>
  <c r="AX98" i="11"/>
  <c r="BM98" i="11"/>
  <c r="BA98" i="11"/>
  <c r="BE98" i="11" s="1"/>
  <c r="AH98" i="11" s="1"/>
  <c r="BB98" i="11"/>
  <c r="BC98" i="11"/>
  <c r="BD98" i="11"/>
  <c r="AN99" i="11"/>
  <c r="AT99" i="11" s="1"/>
  <c r="AO99" i="11"/>
  <c r="AU99" i="11" s="1"/>
  <c r="AP99" i="11"/>
  <c r="AV99" i="11"/>
  <c r="AQ99" i="11"/>
  <c r="AR99" i="11"/>
  <c r="AX99" i="11"/>
  <c r="BA99" i="11"/>
  <c r="BB99" i="11"/>
  <c r="BE99" i="11" s="1"/>
  <c r="AH99" i="11" s="1"/>
  <c r="BC99" i="11"/>
  <c r="BD99" i="11"/>
  <c r="AN100" i="11"/>
  <c r="AT100" i="11"/>
  <c r="AO100" i="11"/>
  <c r="AU100" i="11"/>
  <c r="AP100" i="11"/>
  <c r="P100" i="11" s="1"/>
  <c r="AQ100" i="11"/>
  <c r="AW100" i="11" s="1"/>
  <c r="AR100" i="11"/>
  <c r="Z100" i="11" s="1"/>
  <c r="BG100" i="11"/>
  <c r="BM100" i="11"/>
  <c r="BA100" i="11"/>
  <c r="BB100" i="11"/>
  <c r="BC100" i="11"/>
  <c r="BD100" i="11"/>
  <c r="AN101" i="11"/>
  <c r="AT101" i="11"/>
  <c r="AO101" i="11"/>
  <c r="AU101" i="11"/>
  <c r="AP101" i="11"/>
  <c r="AQ101" i="11"/>
  <c r="AW101" i="11" s="1"/>
  <c r="AR101" i="11"/>
  <c r="AX101" i="11"/>
  <c r="BH101" i="11"/>
  <c r="BM101" i="11"/>
  <c r="BA101" i="11"/>
  <c r="BB101" i="11"/>
  <c r="BC101" i="11"/>
  <c r="BE101" i="11" s="1"/>
  <c r="AH101" i="11" s="1"/>
  <c r="BD101" i="11"/>
  <c r="AN102" i="11"/>
  <c r="AO102" i="11"/>
  <c r="K102" i="11"/>
  <c r="AP102" i="11"/>
  <c r="AV102" i="11" s="1"/>
  <c r="AQ102" i="11"/>
  <c r="AW102" i="11" s="1"/>
  <c r="AR102" i="11"/>
  <c r="AX102" i="11"/>
  <c r="BA102" i="11"/>
  <c r="BB102" i="11"/>
  <c r="BC102" i="11"/>
  <c r="BD102" i="11"/>
  <c r="AN103" i="11"/>
  <c r="AO103" i="11"/>
  <c r="AU103" i="11" s="1"/>
  <c r="AP103" i="11"/>
  <c r="AV103" i="11"/>
  <c r="AQ103" i="11"/>
  <c r="AR103" i="11"/>
  <c r="AX103" i="11" s="1"/>
  <c r="BH103" i="11"/>
  <c r="BA103" i="11"/>
  <c r="BB103" i="11"/>
  <c r="BC103" i="11"/>
  <c r="BD103" i="11"/>
  <c r="AN104" i="11"/>
  <c r="AO104" i="11"/>
  <c r="K104" i="11" s="1"/>
  <c r="AP104" i="11"/>
  <c r="AQ104" i="11"/>
  <c r="U104" i="11"/>
  <c r="AR104" i="11"/>
  <c r="AX104" i="11"/>
  <c r="BG104" i="11"/>
  <c r="BI104" i="11"/>
  <c r="BA104" i="11"/>
  <c r="BB104" i="11"/>
  <c r="BC104" i="11"/>
  <c r="BD104" i="11"/>
  <c r="AN105" i="11"/>
  <c r="AT105" i="11"/>
  <c r="AO105" i="11"/>
  <c r="AP105" i="11"/>
  <c r="AV105" i="11" s="1"/>
  <c r="AQ105" i="11"/>
  <c r="AR105" i="11"/>
  <c r="AX105" i="11"/>
  <c r="BM105" i="11"/>
  <c r="BA105" i="11"/>
  <c r="BB105" i="11"/>
  <c r="BC105" i="11"/>
  <c r="BD105" i="11"/>
  <c r="AN106" i="11"/>
  <c r="AT106" i="11"/>
  <c r="AO106" i="11"/>
  <c r="AU106" i="11" s="1"/>
  <c r="AP106" i="11"/>
  <c r="P106" i="11" s="1"/>
  <c r="AQ106" i="11"/>
  <c r="U106" i="11" s="1"/>
  <c r="AR106" i="11"/>
  <c r="BA106" i="11"/>
  <c r="BB106" i="11"/>
  <c r="BC106" i="11"/>
  <c r="BD106" i="11"/>
  <c r="AN107" i="11"/>
  <c r="AT107" i="11"/>
  <c r="AO107" i="11"/>
  <c r="AU107" i="11" s="1"/>
  <c r="AP107" i="11"/>
  <c r="AV107" i="11" s="1"/>
  <c r="AY107" i="11" s="1"/>
  <c r="AE107" i="11" s="1"/>
  <c r="AQ107" i="11"/>
  <c r="AW107" i="11"/>
  <c r="AR107" i="11"/>
  <c r="AX107" i="11"/>
  <c r="BL107" i="11"/>
  <c r="BA107" i="11"/>
  <c r="BB107" i="11"/>
  <c r="BC107" i="11"/>
  <c r="BD107" i="11"/>
  <c r="AN108" i="11"/>
  <c r="G108" i="11" s="1"/>
  <c r="AO108" i="11"/>
  <c r="AU108" i="11"/>
  <c r="AP108" i="11"/>
  <c r="AV108" i="11"/>
  <c r="AQ108" i="11"/>
  <c r="AR108" i="11"/>
  <c r="AX108" i="11" s="1"/>
  <c r="BI108" i="11"/>
  <c r="BM108" i="11"/>
  <c r="BA108" i="11"/>
  <c r="BE108" i="11" s="1"/>
  <c r="AH108" i="11" s="1"/>
  <c r="BB108" i="11"/>
  <c r="BC108" i="11"/>
  <c r="BD108" i="11"/>
  <c r="AN109" i="11"/>
  <c r="AT109" i="11" s="1"/>
  <c r="AO109" i="11"/>
  <c r="AU109" i="11" s="1"/>
  <c r="AY109" i="11" s="1"/>
  <c r="AE109" i="11" s="1"/>
  <c r="AP109" i="11"/>
  <c r="AQ109" i="11"/>
  <c r="U109" i="11"/>
  <c r="AR109" i="11"/>
  <c r="AX109" i="11"/>
  <c r="BN109" i="11"/>
  <c r="BA109" i="11"/>
  <c r="BE109" i="11" s="1"/>
  <c r="AH109" i="11" s="1"/>
  <c r="BB109" i="11"/>
  <c r="BC109" i="11"/>
  <c r="BD109" i="11"/>
  <c r="AN110" i="11"/>
  <c r="AT110" i="11"/>
  <c r="AO110" i="11"/>
  <c r="K110" i="11" s="1"/>
  <c r="AP110" i="11"/>
  <c r="AV110" i="11" s="1"/>
  <c r="AQ110" i="11"/>
  <c r="AW110" i="11"/>
  <c r="AR110" i="11"/>
  <c r="BA110" i="11"/>
  <c r="BB110" i="11"/>
  <c r="BC110" i="11"/>
  <c r="BD110" i="11"/>
  <c r="BE110" i="11" s="1"/>
  <c r="AN111" i="11"/>
  <c r="AT111" i="11"/>
  <c r="AO111" i="11"/>
  <c r="K111" i="11" s="1"/>
  <c r="AP111" i="11"/>
  <c r="AQ111" i="11"/>
  <c r="U111" i="11"/>
  <c r="AR111" i="11"/>
  <c r="AX111" i="11"/>
  <c r="BG111" i="11"/>
  <c r="BM111" i="11"/>
  <c r="BA111" i="11"/>
  <c r="BB111" i="11"/>
  <c r="BC111" i="11"/>
  <c r="BD111" i="11"/>
  <c r="AN112" i="11"/>
  <c r="AO112" i="11"/>
  <c r="AU112" i="11" s="1"/>
  <c r="AP112" i="11"/>
  <c r="AV112" i="11"/>
  <c r="AQ112" i="11"/>
  <c r="AW112" i="11"/>
  <c r="AR112" i="11"/>
  <c r="BI112" i="11"/>
  <c r="BN112" i="11"/>
  <c r="BA112" i="11"/>
  <c r="BB112" i="11"/>
  <c r="BC112" i="11"/>
  <c r="BD112" i="11"/>
  <c r="AN113" i="11"/>
  <c r="AT113" i="11"/>
  <c r="AY113" i="11" s="1"/>
  <c r="AE113" i="11" s="1"/>
  <c r="AO113" i="11"/>
  <c r="AU113" i="11"/>
  <c r="AP113" i="11"/>
  <c r="AV113" i="11" s="1"/>
  <c r="AQ113" i="11"/>
  <c r="AW113" i="11" s="1"/>
  <c r="AR113" i="11"/>
  <c r="AX113" i="11"/>
  <c r="BA113" i="11"/>
  <c r="BB113" i="11"/>
  <c r="BC113" i="11"/>
  <c r="BD113" i="11"/>
  <c r="AN114" i="11"/>
  <c r="AO114" i="11"/>
  <c r="K114" i="11" s="1"/>
  <c r="AP114" i="11"/>
  <c r="AV114" i="11" s="1"/>
  <c r="AQ114" i="11"/>
  <c r="AR114" i="11"/>
  <c r="AX114" i="11"/>
  <c r="BG114" i="11"/>
  <c r="BA114" i="11"/>
  <c r="BE114" i="11" s="1"/>
  <c r="AH114" i="11" s="1"/>
  <c r="BB114" i="11"/>
  <c r="BC114" i="11"/>
  <c r="BD114" i="11"/>
  <c r="AN115" i="11"/>
  <c r="G115" i="11" s="1"/>
  <c r="AO115" i="11"/>
  <c r="K115" i="11"/>
  <c r="AP115" i="11"/>
  <c r="P115" i="11"/>
  <c r="AQ115" i="11"/>
  <c r="AW115" i="11"/>
  <c r="AR115" i="11"/>
  <c r="BH115" i="11"/>
  <c r="BL115" i="11"/>
  <c r="BA115" i="11"/>
  <c r="BB115" i="11"/>
  <c r="BE115" i="11" s="1"/>
  <c r="AH115" i="11" s="1"/>
  <c r="BC115" i="11"/>
  <c r="BD115" i="11"/>
  <c r="AN116" i="11"/>
  <c r="AT116" i="11"/>
  <c r="AO116" i="11"/>
  <c r="K116" i="11" s="1"/>
  <c r="AP116" i="11"/>
  <c r="P116" i="11" s="1"/>
  <c r="AQ116" i="11"/>
  <c r="AW116" i="11" s="1"/>
  <c r="AR116" i="11"/>
  <c r="Z116" i="11"/>
  <c r="BM116" i="11"/>
  <c r="BA116" i="11"/>
  <c r="BB116" i="11"/>
  <c r="BC116" i="11"/>
  <c r="BD116" i="11"/>
  <c r="AN117" i="11"/>
  <c r="AO117" i="11"/>
  <c r="AU117" i="11"/>
  <c r="AP117" i="11"/>
  <c r="AQ117" i="11"/>
  <c r="AW117" i="11"/>
  <c r="AR117" i="11"/>
  <c r="AX117" i="11"/>
  <c r="BA117" i="11"/>
  <c r="BB117" i="11"/>
  <c r="BC117" i="11"/>
  <c r="BD117" i="11"/>
  <c r="AN118" i="11"/>
  <c r="G118" i="11" s="1"/>
  <c r="AT118" i="11"/>
  <c r="AO118" i="11"/>
  <c r="AP118" i="11"/>
  <c r="AV118" i="11" s="1"/>
  <c r="AQ118" i="11"/>
  <c r="AR118" i="11"/>
  <c r="AX118" i="11" s="1"/>
  <c r="BG118" i="11"/>
  <c r="BM118" i="11"/>
  <c r="BA118" i="11"/>
  <c r="BB118" i="11"/>
  <c r="BC118" i="11"/>
  <c r="BD118" i="11"/>
  <c r="I3" i="11"/>
  <c r="AJ2" i="11"/>
  <c r="G2" i="11"/>
  <c r="R2" i="11"/>
  <c r="V2" i="11"/>
  <c r="AJ3" i="11"/>
  <c r="I4" i="11"/>
  <c r="R6" i="11"/>
  <c r="U9" i="11"/>
  <c r="AA10" i="11"/>
  <c r="G11" i="11"/>
  <c r="K11" i="11"/>
  <c r="BE11" i="11"/>
  <c r="AH11" i="11" s="1"/>
  <c r="AA11" i="11"/>
  <c r="U12" i="11"/>
  <c r="K14" i="11"/>
  <c r="P14" i="11"/>
  <c r="AA14" i="11"/>
  <c r="AA15" i="11"/>
  <c r="AA16" i="11"/>
  <c r="AA17" i="11"/>
  <c r="AA18" i="11"/>
  <c r="K19" i="11"/>
  <c r="AA19" i="11"/>
  <c r="AA20" i="11"/>
  <c r="G21" i="11"/>
  <c r="AA21" i="11"/>
  <c r="AA22" i="11"/>
  <c r="K23" i="11"/>
  <c r="AA23" i="11"/>
  <c r="AA24" i="11"/>
  <c r="G25" i="11"/>
  <c r="AA25" i="11"/>
  <c r="AA26" i="11"/>
  <c r="AA27" i="11"/>
  <c r="AA28" i="11"/>
  <c r="AA29" i="11"/>
  <c r="K30" i="11"/>
  <c r="P30" i="11"/>
  <c r="AA30" i="11"/>
  <c r="AA31" i="11"/>
  <c r="Z32" i="11"/>
  <c r="AA32" i="11"/>
  <c r="AA33" i="11"/>
  <c r="Z34" i="11"/>
  <c r="AA34" i="11"/>
  <c r="K35" i="11"/>
  <c r="AA35" i="11"/>
  <c r="AA36" i="11"/>
  <c r="P37" i="11"/>
  <c r="AA37" i="11"/>
  <c r="AA38" i="11"/>
  <c r="Z39" i="11"/>
  <c r="AA39" i="11"/>
  <c r="P40" i="11"/>
  <c r="Z40" i="11"/>
  <c r="AA40" i="11"/>
  <c r="Z41" i="11"/>
  <c r="AA41" i="11"/>
  <c r="AA42" i="11"/>
  <c r="AA43" i="11"/>
  <c r="AA44" i="11"/>
  <c r="K45" i="11"/>
  <c r="AA45" i="11"/>
  <c r="AA46" i="11"/>
  <c r="AA47" i="11"/>
  <c r="AA48" i="11"/>
  <c r="AA49" i="11"/>
  <c r="AA50" i="11"/>
  <c r="AA51" i="11"/>
  <c r="AA52" i="11"/>
  <c r="G53" i="11"/>
  <c r="K53" i="11"/>
  <c r="AA53" i="11"/>
  <c r="AA54" i="11"/>
  <c r="Z55" i="11"/>
  <c r="AA55" i="11"/>
  <c r="AA56" i="11"/>
  <c r="AA57" i="11"/>
  <c r="AA58" i="11"/>
  <c r="AA59" i="11"/>
  <c r="K60" i="11"/>
  <c r="AA60" i="11"/>
  <c r="AA61" i="11"/>
  <c r="AA62" i="11"/>
  <c r="AA63" i="11"/>
  <c r="AA64" i="11"/>
  <c r="AA65" i="11"/>
  <c r="AA66" i="11"/>
  <c r="G67" i="11"/>
  <c r="AA67" i="11"/>
  <c r="AA68" i="11"/>
  <c r="AA69" i="11"/>
  <c r="AA70" i="11"/>
  <c r="AA71" i="11"/>
  <c r="AA72" i="11"/>
  <c r="AA73" i="11"/>
  <c r="AA74" i="11"/>
  <c r="AA75" i="11"/>
  <c r="AA76" i="11"/>
  <c r="AA77" i="11"/>
  <c r="AA78" i="11"/>
  <c r="AA79" i="11"/>
  <c r="AA80" i="11"/>
  <c r="K81" i="11"/>
  <c r="AA81" i="11"/>
  <c r="AA82" i="11"/>
  <c r="Z83" i="11"/>
  <c r="AA83" i="11"/>
  <c r="AA84" i="11"/>
  <c r="AA85" i="11"/>
  <c r="AA86" i="11"/>
  <c r="AA87" i="11"/>
  <c r="K88" i="11"/>
  <c r="AA88" i="11"/>
  <c r="AA89" i="11"/>
  <c r="AA90" i="11"/>
  <c r="AA91" i="11"/>
  <c r="AA92" i="11"/>
  <c r="AA93" i="11"/>
  <c r="AA94" i="11"/>
  <c r="AA95" i="11"/>
  <c r="U96" i="11"/>
  <c r="AA96" i="11"/>
  <c r="AA97" i="11"/>
  <c r="AA98" i="11"/>
  <c r="AA99" i="11"/>
  <c r="AA100" i="11"/>
  <c r="AA101" i="11"/>
  <c r="AA102" i="11"/>
  <c r="AA103" i="11"/>
  <c r="AA104" i="11"/>
  <c r="Z105" i="11"/>
  <c r="AA105" i="11"/>
  <c r="AA106" i="11"/>
  <c r="AA107" i="11"/>
  <c r="AA108" i="11"/>
  <c r="AA109" i="11"/>
  <c r="AA110" i="11"/>
  <c r="AA111" i="11"/>
  <c r="AA112" i="11"/>
  <c r="AA113" i="11"/>
  <c r="AA114" i="11"/>
  <c r="AA115" i="11"/>
  <c r="AA116" i="11"/>
  <c r="AA117" i="11"/>
  <c r="AA118" i="11"/>
  <c r="AL6" i="1"/>
  <c r="DF6" i="1"/>
  <c r="DH6" i="1"/>
  <c r="AL7" i="1"/>
  <c r="AL8" i="1"/>
  <c r="AL9" i="1"/>
  <c r="BR9" i="1"/>
  <c r="AL10" i="1"/>
  <c r="BP10" i="1"/>
  <c r="BR10" i="1"/>
  <c r="AL11" i="1"/>
  <c r="BP11" i="1"/>
  <c r="BR11" i="1"/>
  <c r="AL12" i="1"/>
  <c r="BP12" i="1"/>
  <c r="BR12" i="1"/>
  <c r="AL13" i="1"/>
  <c r="BP13" i="1"/>
  <c r="BR13" i="1"/>
  <c r="AL14" i="1"/>
  <c r="AN14" i="1"/>
  <c r="BP14" i="1"/>
  <c r="BR14" i="1"/>
  <c r="AL15" i="1"/>
  <c r="AO15" i="1"/>
  <c r="BP15" i="1"/>
  <c r="BR15" i="1"/>
  <c r="AL16" i="1"/>
  <c r="AN17" i="1"/>
  <c r="AO17" i="1"/>
  <c r="BP16" i="1"/>
  <c r="BR16" i="1"/>
  <c r="AL17" i="1"/>
  <c r="BP17" i="1"/>
  <c r="BR17" i="1"/>
  <c r="DF17" i="1"/>
  <c r="DH17" i="1"/>
  <c r="AL18" i="1"/>
  <c r="BP18" i="1"/>
  <c r="BR18" i="1"/>
  <c r="DB18" i="1"/>
  <c r="DD18" i="1"/>
  <c r="DF18" i="1"/>
  <c r="DH18" i="1"/>
  <c r="AL19" i="1"/>
  <c r="BP19" i="1"/>
  <c r="BR19" i="1"/>
  <c r="DB19" i="1"/>
  <c r="DD19" i="1"/>
  <c r="DF19" i="1"/>
  <c r="DH19" i="1"/>
  <c r="AL20" i="1"/>
  <c r="AL21" i="1"/>
  <c r="AL22" i="1"/>
  <c r="AL23" i="1"/>
  <c r="AL24" i="1"/>
  <c r="AL25" i="1"/>
  <c r="AL26" i="1"/>
  <c r="AL27" i="1"/>
  <c r="AL28" i="1"/>
  <c r="AL29" i="1"/>
  <c r="AL30" i="1"/>
  <c r="AL31" i="1"/>
  <c r="AL32" i="1"/>
  <c r="AL33" i="1"/>
  <c r="AL34" i="1"/>
  <c r="AL35" i="1"/>
  <c r="AL36" i="1"/>
  <c r="AL37" i="1"/>
  <c r="AL38" i="1"/>
  <c r="AL39" i="1"/>
  <c r="AL40" i="1"/>
  <c r="AL41" i="1"/>
  <c r="AL42" i="1"/>
  <c r="AW42" i="1"/>
  <c r="AL43" i="1"/>
  <c r="AL44" i="1"/>
  <c r="AL52" i="1"/>
  <c r="AL53" i="1"/>
  <c r="AL54" i="1"/>
  <c r="AL55" i="1"/>
  <c r="AL56" i="1"/>
  <c r="AL57" i="1"/>
  <c r="AL58" i="1"/>
  <c r="AL59" i="1"/>
  <c r="AL60" i="1"/>
  <c r="AL61" i="1"/>
  <c r="AL62" i="1"/>
  <c r="AL63" i="1"/>
  <c r="AL64" i="1"/>
  <c r="AL65" i="1"/>
  <c r="AL66" i="1"/>
  <c r="AL67" i="1"/>
  <c r="AL68" i="1"/>
  <c r="AL69" i="1"/>
  <c r="AL70" i="1"/>
  <c r="AL71" i="1"/>
  <c r="AL72" i="1"/>
  <c r="AL75" i="1"/>
  <c r="AL76" i="1"/>
  <c r="AL77" i="1"/>
  <c r="AL78" i="1"/>
  <c r="AL79" i="1"/>
  <c r="AL81" i="1"/>
  <c r="AL82" i="1"/>
  <c r="AL83" i="1"/>
  <c r="AL85" i="1"/>
  <c r="AL86" i="1"/>
  <c r="AL87" i="1"/>
  <c r="AL88" i="1"/>
  <c r="AL89" i="1"/>
  <c r="AL90" i="1"/>
  <c r="AL92" i="1"/>
  <c r="AL93" i="1"/>
  <c r="AL95" i="1"/>
  <c r="AL96" i="1"/>
  <c r="AL98" i="1"/>
  <c r="AL99" i="1"/>
  <c r="AL100" i="1"/>
  <c r="AL101" i="1"/>
  <c r="AL110" i="1"/>
  <c r="AL111" i="1"/>
  <c r="AL112" i="1"/>
  <c r="AL113" i="1"/>
  <c r="B145" i="1"/>
  <c r="B146" i="1"/>
  <c r="B147" i="1"/>
  <c r="B148" i="1"/>
  <c r="B149" i="1"/>
  <c r="B150" i="1"/>
  <c r="B151" i="1"/>
  <c r="B152" i="1"/>
  <c r="B153" i="1"/>
  <c r="C23" i="4"/>
  <c r="E23" i="4" s="1"/>
  <c r="D23" i="4"/>
  <c r="F23" i="4"/>
  <c r="G23" i="4"/>
  <c r="H23" i="4"/>
  <c r="C24" i="4"/>
  <c r="V24" i="4"/>
  <c r="W24" i="4"/>
  <c r="X24" i="4"/>
  <c r="B25" i="4"/>
  <c r="C25" i="4"/>
  <c r="E25" i="4" s="1"/>
  <c r="D25" i="4"/>
  <c r="F25" i="4"/>
  <c r="G25" i="4"/>
  <c r="H25" i="4"/>
  <c r="V25" i="4"/>
  <c r="W25" i="4"/>
  <c r="X25" i="4"/>
  <c r="B26" i="4"/>
  <c r="C26" i="4"/>
  <c r="G26" i="4" s="1"/>
  <c r="D26" i="4"/>
  <c r="E26" i="4"/>
  <c r="F26" i="4"/>
  <c r="H26" i="4"/>
  <c r="V26" i="4"/>
  <c r="W26" i="4"/>
  <c r="X26" i="4"/>
  <c r="C27" i="4"/>
  <c r="H27" i="4" s="1"/>
  <c r="D27" i="4"/>
  <c r="E27" i="4"/>
  <c r="F27" i="4"/>
  <c r="G27" i="4"/>
  <c r="V27" i="4"/>
  <c r="W27" i="4"/>
  <c r="X27" i="4"/>
  <c r="B28" i="4"/>
  <c r="C28" i="4"/>
  <c r="D28" i="4" s="1"/>
  <c r="E28" i="4"/>
  <c r="I28" i="4"/>
  <c r="V28" i="4"/>
  <c r="W28" i="4"/>
  <c r="X28" i="4"/>
  <c r="V32" i="4"/>
  <c r="R34" i="4"/>
  <c r="V34" i="4"/>
  <c r="G1" i="12"/>
  <c r="B3" i="12"/>
  <c r="B4" i="12"/>
  <c r="B5" i="12"/>
  <c r="C5" i="12"/>
  <c r="G5" i="12"/>
  <c r="D8" i="12"/>
  <c r="D9" i="12"/>
  <c r="D10" i="12"/>
  <c r="D11" i="12"/>
  <c r="D12" i="12"/>
  <c r="D13" i="12"/>
  <c r="D14" i="12"/>
  <c r="D15" i="12"/>
  <c r="D16" i="12"/>
  <c r="D17" i="12"/>
  <c r="AX88" i="11"/>
  <c r="AX66" i="11"/>
  <c r="U49" i="11"/>
  <c r="AW20" i="11"/>
  <c r="BE40" i="11"/>
  <c r="AH40" i="11" s="1"/>
  <c r="U32" i="11"/>
  <c r="U27" i="11"/>
  <c r="P11" i="11"/>
  <c r="BE54" i="11"/>
  <c r="AH54" i="11" s="1"/>
  <c r="BE41" i="11"/>
  <c r="AH41" i="11" s="1"/>
  <c r="BE24" i="11"/>
  <c r="AH24" i="11" s="1"/>
  <c r="BE29" i="11"/>
  <c r="AH29" i="11" s="1"/>
  <c r="AU28" i="11"/>
  <c r="AU69" i="11"/>
  <c r="BE60" i="11"/>
  <c r="AH60" i="11"/>
  <c r="AU47" i="11"/>
  <c r="AY47" i="11" s="1"/>
  <c r="AE47" i="11" s="1"/>
  <c r="G73" i="11"/>
  <c r="AT62" i="11"/>
  <c r="BE87" i="11"/>
  <c r="AH87" i="11"/>
  <c r="Z108" i="11"/>
  <c r="BE93" i="11"/>
  <c r="AH93" i="11"/>
  <c r="BE64" i="11"/>
  <c r="AH64" i="11" s="1"/>
  <c r="BE59" i="11"/>
  <c r="AH59" i="11"/>
  <c r="BE57" i="11"/>
  <c r="AH57" i="11"/>
  <c r="Z75" i="11"/>
  <c r="Z51" i="11"/>
  <c r="Z19" i="11"/>
  <c r="BE19" i="11"/>
  <c r="AH19" i="11" s="1"/>
  <c r="Z84" i="11"/>
  <c r="BE118" i="11"/>
  <c r="AH118" i="11"/>
  <c r="Z15" i="11"/>
  <c r="U92" i="11"/>
  <c r="U74" i="11"/>
  <c r="BE74" i="11"/>
  <c r="AH74" i="11"/>
  <c r="U62" i="11"/>
  <c r="BE67" i="11"/>
  <c r="AH67" i="11" s="1"/>
  <c r="BE66" i="11"/>
  <c r="AH66" i="11"/>
  <c r="BE56" i="11"/>
  <c r="AH56" i="11" s="1"/>
  <c r="BE32" i="11"/>
  <c r="AH32" i="11"/>
  <c r="BE27" i="11"/>
  <c r="AH27" i="11"/>
  <c r="U41" i="11"/>
  <c r="U14" i="11"/>
  <c r="U83" i="11"/>
  <c r="U72" i="11"/>
  <c r="BE88" i="11"/>
  <c r="AH88" i="11" s="1"/>
  <c r="BE25" i="11"/>
  <c r="AH25" i="11" s="1"/>
  <c r="U28" i="11"/>
  <c r="U79" i="11"/>
  <c r="U30" i="11"/>
  <c r="U18" i="11"/>
  <c r="AW51" i="11"/>
  <c r="BE33" i="11"/>
  <c r="AH33" i="11" s="1"/>
  <c r="BE97" i="11"/>
  <c r="AH97" i="11"/>
  <c r="BE84" i="11"/>
  <c r="AH84" i="11"/>
  <c r="BE78" i="11"/>
  <c r="AH78" i="11" s="1"/>
  <c r="BE63" i="11"/>
  <c r="AH63" i="11" s="1"/>
  <c r="BE83" i="11"/>
  <c r="AH83" i="11" s="1"/>
  <c r="BE49" i="11"/>
  <c r="AH49" i="11" s="1"/>
  <c r="BE42" i="11"/>
  <c r="AH42" i="11" s="1"/>
  <c r="BE91" i="11"/>
  <c r="AH91" i="11" s="1"/>
  <c r="BE81" i="11"/>
  <c r="AH81" i="11"/>
  <c r="BE61" i="11"/>
  <c r="AH61" i="11" s="1"/>
  <c r="BE82" i="11"/>
  <c r="AH82" i="11" s="1"/>
  <c r="BE75" i="11"/>
  <c r="AH75" i="11" s="1"/>
  <c r="BE28" i="11"/>
  <c r="AH28" i="11" s="1"/>
  <c r="AH110" i="11"/>
  <c r="BE104" i="11"/>
  <c r="AH104" i="11"/>
  <c r="BE92" i="11"/>
  <c r="AH92" i="11" s="1"/>
  <c r="BE80" i="11"/>
  <c r="AH80" i="11" s="1"/>
  <c r="BE53" i="11"/>
  <c r="AH53" i="11" s="1"/>
  <c r="BE34" i="11"/>
  <c r="AH34" i="11" s="1"/>
  <c r="BE106" i="11"/>
  <c r="AH106" i="11"/>
  <c r="BE100" i="11"/>
  <c r="AH100" i="11"/>
  <c r="BE94" i="11"/>
  <c r="AH94" i="11" s="1"/>
  <c r="BE68" i="11"/>
  <c r="AH68" i="11" s="1"/>
  <c r="BE26" i="11"/>
  <c r="AH26" i="11" s="1"/>
  <c r="BE117" i="11"/>
  <c r="AH117" i="11" s="1"/>
  <c r="P24" i="11"/>
  <c r="BE96" i="11"/>
  <c r="AH96" i="11" s="1"/>
  <c r="BE71" i="11"/>
  <c r="AH71" i="11"/>
  <c r="AV47" i="11"/>
  <c r="BE46" i="11"/>
  <c r="AH46" i="11" s="1"/>
  <c r="AV44" i="11"/>
  <c r="BE43" i="11"/>
  <c r="AH43" i="11"/>
  <c r="BE39" i="11"/>
  <c r="AH39" i="11" s="1"/>
  <c r="BE17" i="11"/>
  <c r="AH17" i="11"/>
  <c r="BE9" i="11"/>
  <c r="AH9" i="11" s="1"/>
  <c r="BE107" i="11"/>
  <c r="AH107" i="11"/>
  <c r="BE105" i="11"/>
  <c r="AH105" i="11" s="1"/>
  <c r="BE103" i="11"/>
  <c r="AH103" i="11"/>
  <c r="BE76" i="11"/>
  <c r="AH76" i="11"/>
  <c r="BE65" i="11"/>
  <c r="AH65" i="11" s="1"/>
  <c r="AV60" i="11"/>
  <c r="BE52" i="11"/>
  <c r="AH52" i="11"/>
  <c r="BE50" i="11"/>
  <c r="AH50" i="11"/>
  <c r="BE45" i="11"/>
  <c r="AH45" i="11" s="1"/>
  <c r="AV26" i="11"/>
  <c r="P96" i="11"/>
  <c r="BE113" i="11"/>
  <c r="AH113" i="11" s="1"/>
  <c r="BE111" i="11"/>
  <c r="AH111" i="11"/>
  <c r="AV94" i="11"/>
  <c r="BE72" i="11"/>
  <c r="AH72" i="11" s="1"/>
  <c r="BE62" i="11"/>
  <c r="AH62" i="11"/>
  <c r="BE36" i="11"/>
  <c r="AH36" i="11"/>
  <c r="BE31" i="11"/>
  <c r="AH31" i="11"/>
  <c r="BE16" i="11"/>
  <c r="AH16" i="11"/>
  <c r="BE18" i="11"/>
  <c r="AH18" i="11"/>
  <c r="BE112" i="11"/>
  <c r="AH112" i="11"/>
  <c r="BE102" i="11"/>
  <c r="AH102" i="11" s="1"/>
  <c r="BE69" i="11"/>
  <c r="AH69" i="11"/>
  <c r="BE51" i="11"/>
  <c r="AH51" i="11"/>
  <c r="BE35" i="11"/>
  <c r="AH35" i="11" s="1"/>
  <c r="BE20" i="11"/>
  <c r="AH20" i="11"/>
  <c r="AU62" i="11"/>
  <c r="K79" i="11"/>
  <c r="K16" i="11"/>
  <c r="AU115" i="11"/>
  <c r="AU104" i="11"/>
  <c r="AU46" i="11"/>
  <c r="AU26" i="11"/>
  <c r="G71" i="11"/>
  <c r="G48" i="11"/>
  <c r="AT80" i="11"/>
  <c r="AT37" i="11"/>
  <c r="G66" i="11"/>
  <c r="G58" i="5"/>
  <c r="J58" i="5" s="1"/>
  <c r="E58" i="5"/>
  <c r="H50" i="7"/>
  <c r="AO12" i="1"/>
  <c r="N58" i="5"/>
  <c r="O60" i="5"/>
  <c r="O59" i="5"/>
  <c r="L61" i="5"/>
  <c r="N62" i="5"/>
  <c r="N59" i="5"/>
  <c r="F58" i="5"/>
  <c r="L60" i="5"/>
  <c r="L59" i="5"/>
  <c r="O61" i="5"/>
  <c r="L58" i="5"/>
  <c r="O62" i="5"/>
  <c r="N61" i="5"/>
  <c r="I50" i="7"/>
  <c r="G50" i="7"/>
  <c r="AX67" i="1"/>
  <c r="I20" i="8" s="1"/>
  <c r="AX76" i="1"/>
  <c r="I28" i="8" s="1"/>
  <c r="K9" i="11"/>
  <c r="AT17" i="11"/>
  <c r="AY17" i="11" s="1"/>
  <c r="AE17" i="11" s="1"/>
  <c r="B23" i="4"/>
  <c r="Q65" i="1"/>
  <c r="R51" i="1"/>
  <c r="O70" i="1"/>
  <c r="R56" i="1"/>
  <c r="R68" i="1"/>
  <c r="R53" i="1"/>
  <c r="R60" i="1"/>
  <c r="R69" i="1"/>
  <c r="O52" i="1"/>
  <c r="O46" i="1"/>
  <c r="O49" i="1"/>
  <c r="Q56" i="1"/>
  <c r="R59" i="1"/>
  <c r="R66" i="1"/>
  <c r="Q47" i="1"/>
  <c r="R50" i="1"/>
  <c r="R57" i="1"/>
  <c r="O64" i="1"/>
  <c r="Q71" i="1"/>
  <c r="R47" i="1"/>
  <c r="R54" i="1"/>
  <c r="O61" i="1"/>
  <c r="Q68" i="1"/>
  <c r="R71" i="1"/>
  <c r="R48" i="1"/>
  <c r="O55" i="1"/>
  <c r="Q62" i="1"/>
  <c r="R65" i="1"/>
  <c r="R72" i="1"/>
  <c r="Q59" i="1"/>
  <c r="Q50" i="1"/>
  <c r="O58" i="1"/>
  <c r="Q53" i="1"/>
  <c r="O67" i="1"/>
  <c r="R62" i="1"/>
  <c r="DH7" i="1"/>
  <c r="F7" i="10"/>
  <c r="DG21" i="1"/>
  <c r="I30" i="9"/>
  <c r="DH8" i="1"/>
  <c r="U69" i="18"/>
  <c r="J34" i="6"/>
  <c r="H178" i="1"/>
  <c r="G178" i="1"/>
  <c r="F178" i="1"/>
  <c r="I27" i="5"/>
  <c r="AW41" i="1"/>
  <c r="W172" i="1"/>
  <c r="AA22" i="18"/>
  <c r="T33" i="18" s="1"/>
  <c r="U177" i="1"/>
  <c r="V177" i="1"/>
  <c r="AC175" i="1"/>
  <c r="AI25" i="18" s="1"/>
  <c r="AE159" i="1"/>
  <c r="U159" i="1"/>
  <c r="V159" i="1" s="1"/>
  <c r="U161" i="1"/>
  <c r="V161" i="1"/>
  <c r="AE175" i="1"/>
  <c r="AE172" i="1"/>
  <c r="AD159" i="1"/>
  <c r="AD175" i="1"/>
  <c r="Y175" i="1"/>
  <c r="AE25" i="18"/>
  <c r="P69" i="18"/>
  <c r="Z171" i="1"/>
  <c r="X168" i="1"/>
  <c r="W168" i="1"/>
  <c r="AA18" i="18" s="1"/>
  <c r="P33" i="18" s="1"/>
  <c r="X69" i="18"/>
  <c r="Y171" i="1"/>
  <c r="X171" i="1"/>
  <c r="X174" i="1"/>
  <c r="AE167" i="1"/>
  <c r="Z174" i="1"/>
  <c r="AF174" i="1" s="1"/>
  <c r="Y174" i="1"/>
  <c r="AD171" i="1"/>
  <c r="AA171" i="1"/>
  <c r="AE174" i="1"/>
  <c r="AE161" i="1"/>
  <c r="H69" i="18"/>
  <c r="AD174" i="1"/>
  <c r="AD161" i="1"/>
  <c r="AE171" i="1"/>
  <c r="Y170" i="1"/>
  <c r="Z177" i="1"/>
  <c r="AF27" i="18" s="1"/>
  <c r="X34" i="18" s="1"/>
  <c r="AC174" i="1"/>
  <c r="U174" i="1"/>
  <c r="V174" i="1" s="1"/>
  <c r="AE176" i="1"/>
  <c r="AB174" i="1"/>
  <c r="AC171" i="1"/>
  <c r="U171" i="1"/>
  <c r="V171" i="1" s="1"/>
  <c r="I69" i="18"/>
  <c r="AA174" i="1"/>
  <c r="AB171" i="1"/>
  <c r="Y168" i="1"/>
  <c r="T69" i="18"/>
  <c r="Z176" i="1"/>
  <c r="AF26" i="18" s="1"/>
  <c r="W34" i="18" s="1"/>
  <c r="AA170" i="1"/>
  <c r="AA168" i="1"/>
  <c r="Y166" i="1"/>
  <c r="AE16" i="18" s="1"/>
  <c r="U168" i="1"/>
  <c r="Y176" i="1"/>
  <c r="AE26" i="18" s="1"/>
  <c r="Z170" i="1"/>
  <c r="Z168" i="1"/>
  <c r="U167" i="1"/>
  <c r="V167" i="1" s="1"/>
  <c r="W170" i="1"/>
  <c r="AA20" i="18" s="1"/>
  <c r="R33" i="18" s="1"/>
  <c r="AE170" i="1"/>
  <c r="AE168" i="1"/>
  <c r="AC176" i="1"/>
  <c r="AI26" i="18"/>
  <c r="AB175" i="1"/>
  <c r="AH25" i="18"/>
  <c r="AD170" i="1"/>
  <c r="AD168" i="1"/>
  <c r="AC167" i="1"/>
  <c r="AB176" i="1"/>
  <c r="AH26" i="18" s="1"/>
  <c r="AA175" i="1"/>
  <c r="AG25" i="18" s="1"/>
  <c r="V86" i="18" s="1"/>
  <c r="X176" i="1"/>
  <c r="AD26" i="18" s="1"/>
  <c r="AC170" i="1"/>
  <c r="AC168" i="1"/>
  <c r="Y167" i="1"/>
  <c r="X170" i="1"/>
  <c r="AD20" i="18" s="1"/>
  <c r="AD176" i="1"/>
  <c r="AA176" i="1"/>
  <c r="Z175" i="1"/>
  <c r="AF25" i="18" s="1"/>
  <c r="V34" i="18" s="1"/>
  <c r="X175" i="1"/>
  <c r="AD25" i="18"/>
  <c r="AB170" i="1"/>
  <c r="AB169" i="1"/>
  <c r="AE166" i="1"/>
  <c r="BB8" i="1"/>
  <c r="DB8" i="1"/>
  <c r="DD8" i="1"/>
  <c r="DF8" i="1"/>
  <c r="BC8" i="1"/>
  <c r="AQ7" i="1"/>
  <c r="C42" i="6"/>
  <c r="U172" i="1"/>
  <c r="V172" i="1" s="1"/>
  <c r="Y172" i="1"/>
  <c r="Y165" i="1"/>
  <c r="Y177" i="1"/>
  <c r="AE27" i="18"/>
  <c r="X177" i="1"/>
  <c r="AD27" i="18" s="1"/>
  <c r="X172" i="1"/>
  <c r="X167" i="1"/>
  <c r="X166" i="1"/>
  <c r="AD16" i="18" s="1"/>
  <c r="AE177" i="1"/>
  <c r="AD172" i="1"/>
  <c r="AD167" i="1"/>
  <c r="AD166" i="1"/>
  <c r="U176" i="1"/>
  <c r="V176" i="1" s="1"/>
  <c r="W167" i="1"/>
  <c r="AA17" i="18"/>
  <c r="O33" i="18"/>
  <c r="AD177" i="1"/>
  <c r="AC172" i="1"/>
  <c r="AC166" i="1"/>
  <c r="AC177" i="1"/>
  <c r="AI27" i="18" s="1"/>
  <c r="AB172" i="1"/>
  <c r="AB167" i="1"/>
  <c r="AB166" i="1"/>
  <c r="AH16" i="18" s="1"/>
  <c r="W175" i="1"/>
  <c r="AB177" i="1"/>
  <c r="AA172" i="1"/>
  <c r="AA167" i="1"/>
  <c r="AA166" i="1"/>
  <c r="U166" i="1"/>
  <c r="V166" i="1"/>
  <c r="AA177" i="1"/>
  <c r="AG27" i="18"/>
  <c r="X86" i="18" s="1"/>
  <c r="Z172" i="1"/>
  <c r="Z166" i="1"/>
  <c r="W177" i="1"/>
  <c r="AA27" i="18"/>
  <c r="X33" i="18"/>
  <c r="AW43" i="1"/>
  <c r="AW62" i="1" s="1"/>
  <c r="K15" i="6"/>
  <c r="BG45" i="1"/>
  <c r="L15" i="6"/>
  <c r="BH45" i="1" s="1"/>
  <c r="X163" i="1"/>
  <c r="AA161" i="1"/>
  <c r="AB162" i="1"/>
  <c r="Y163" i="1"/>
  <c r="AB161" i="1"/>
  <c r="I15" i="6"/>
  <c r="G161" i="1" s="1"/>
  <c r="J15" i="6"/>
  <c r="H161" i="1"/>
  <c r="N161" i="1"/>
  <c r="H15" i="6"/>
  <c r="F161" i="1"/>
  <c r="X161" i="1"/>
  <c r="Y161" i="1"/>
  <c r="AC161" i="1"/>
  <c r="Z161" i="1"/>
  <c r="W165" i="1"/>
  <c r="AC165" i="1"/>
  <c r="BE10" i="11"/>
  <c r="AH10" i="11"/>
  <c r="AA12" i="11"/>
  <c r="AT14" i="11"/>
  <c r="E196" i="1"/>
  <c r="O196" i="1"/>
  <c r="Z165" i="1"/>
  <c r="AF15" i="18" s="1"/>
  <c r="M34" i="18" s="1"/>
  <c r="M44" i="18" s="1"/>
  <c r="Q213" i="1"/>
  <c r="B38" i="7"/>
  <c r="AA165" i="1"/>
  <c r="AG15" i="18" s="1"/>
  <c r="M86" i="18" s="1"/>
  <c r="M102" i="18" s="1"/>
  <c r="AD165" i="1"/>
  <c r="AB165" i="1"/>
  <c r="Q215" i="1"/>
  <c r="B40" i="7" s="1"/>
  <c r="Q209" i="1"/>
  <c r="B34" i="7"/>
  <c r="U165" i="1"/>
  <c r="X165" i="1"/>
  <c r="DD5" i="1"/>
  <c r="AQ5" i="1"/>
  <c r="C40" i="6" s="1"/>
  <c r="DF5" i="1"/>
  <c r="DB5" i="1"/>
  <c r="BC5" i="1"/>
  <c r="J2" i="7"/>
  <c r="U160" i="1"/>
  <c r="W160" i="1"/>
  <c r="AD160" i="1"/>
  <c r="DD7" i="1"/>
  <c r="DF7" i="1"/>
  <c r="Q69" i="18"/>
  <c r="N69" i="18"/>
  <c r="V69" i="18"/>
  <c r="S69" i="18"/>
  <c r="R69" i="18"/>
  <c r="M69" i="18"/>
  <c r="O69" i="18"/>
  <c r="L69" i="18"/>
  <c r="J69" i="18"/>
  <c r="K69" i="18"/>
  <c r="AA13" i="11"/>
  <c r="K17" i="6"/>
  <c r="I163" i="1"/>
  <c r="O163" i="1" s="1"/>
  <c r="H17" i="6"/>
  <c r="I17" i="6"/>
  <c r="K13" i="6"/>
  <c r="BG43" i="1" s="1"/>
  <c r="BJ43" i="1" s="1"/>
  <c r="L23" i="4" s="1"/>
  <c r="L13" i="6"/>
  <c r="BH43" i="1" s="1"/>
  <c r="BK43" i="1" s="1"/>
  <c r="M23" i="4" s="1"/>
  <c r="L16" i="6"/>
  <c r="BH46" i="1" s="1"/>
  <c r="BK46" i="1" s="1"/>
  <c r="M26" i="4"/>
  <c r="L17" i="6"/>
  <c r="BH47" i="1" s="1"/>
  <c r="L14" i="6"/>
  <c r="K16" i="6"/>
  <c r="BG46" i="1" s="1"/>
  <c r="BJ46" i="1" s="1"/>
  <c r="L26" i="4" s="1"/>
  <c r="K14" i="6"/>
  <c r="I160" i="1" s="1"/>
  <c r="M24" i="9"/>
  <c r="AA159" i="1"/>
  <c r="AA160" i="1"/>
  <c r="AB160" i="1"/>
  <c r="AC160" i="1"/>
  <c r="AB159" i="1"/>
  <c r="AH9" i="18" s="1"/>
  <c r="H16" i="6"/>
  <c r="J13" i="6"/>
  <c r="H159" i="1" s="1"/>
  <c r="N159" i="1" s="1"/>
  <c r="I13" i="6"/>
  <c r="G159" i="1"/>
  <c r="H13" i="6"/>
  <c r="BF43" i="1" s="1"/>
  <c r="BI43" i="1" s="1"/>
  <c r="I23" i="4" s="1"/>
  <c r="H14" i="6"/>
  <c r="F160" i="1" s="1"/>
  <c r="J16" i="6"/>
  <c r="BM46" i="1" s="1"/>
  <c r="BO46" i="1" s="1"/>
  <c r="K26" i="4"/>
  <c r="I16" i="6"/>
  <c r="G162" i="1"/>
  <c r="I14" i="6"/>
  <c r="J14" i="6"/>
  <c r="BM44" i="1" s="1"/>
  <c r="BO44" i="1" s="1"/>
  <c r="Z159" i="1"/>
  <c r="Z160" i="1"/>
  <c r="Y160" i="1"/>
  <c r="X160" i="1"/>
  <c r="AC159" i="1"/>
  <c r="Y159" i="1"/>
  <c r="X159" i="1"/>
  <c r="AU114" i="11"/>
  <c r="AU31" i="11"/>
  <c r="K41" i="11"/>
  <c r="U21" i="11"/>
  <c r="P35" i="11"/>
  <c r="U46" i="11"/>
  <c r="P19" i="11"/>
  <c r="U66" i="11"/>
  <c r="P75" i="11"/>
  <c r="U50" i="11"/>
  <c r="P55" i="11"/>
  <c r="Z59" i="11"/>
  <c r="G109" i="11"/>
  <c r="AW39" i="11"/>
  <c r="Z86" i="11"/>
  <c r="U37" i="11"/>
  <c r="P46" i="11"/>
  <c r="P23" i="11"/>
  <c r="AX68" i="11"/>
  <c r="G97" i="11"/>
  <c r="AX27" i="11"/>
  <c r="K101" i="11"/>
  <c r="G84" i="11"/>
  <c r="U55" i="11"/>
  <c r="P66" i="11"/>
  <c r="DH11" i="1"/>
  <c r="DF11" i="1"/>
  <c r="BA7" i="1"/>
  <c r="U7" i="4"/>
  <c r="DF15" i="1"/>
  <c r="P98" i="11"/>
  <c r="K61" i="11"/>
  <c r="Z104" i="11"/>
  <c r="P43" i="11"/>
  <c r="U61" i="11"/>
  <c r="G98" i="11"/>
  <c r="U52" i="11"/>
  <c r="P72" i="11"/>
  <c r="G52" i="11"/>
  <c r="G111" i="11"/>
  <c r="Z37" i="11"/>
  <c r="AV100" i="11"/>
  <c r="P61" i="11"/>
  <c r="G50" i="11"/>
  <c r="Z117" i="11"/>
  <c r="Z76" i="11"/>
  <c r="G70" i="11"/>
  <c r="AV115" i="11"/>
  <c r="K48" i="11"/>
  <c r="AU102" i="11"/>
  <c r="P54" i="11"/>
  <c r="K85" i="11"/>
  <c r="AV45" i="11"/>
  <c r="U107" i="11"/>
  <c r="AT38" i="11"/>
  <c r="BN28" i="11"/>
  <c r="U116" i="11"/>
  <c r="K24" i="11"/>
  <c r="P12" i="11"/>
  <c r="AT41" i="11"/>
  <c r="G58" i="11"/>
  <c r="P49" i="11"/>
  <c r="AT115" i="11"/>
  <c r="U43" i="11"/>
  <c r="G36" i="11"/>
  <c r="U54" i="11"/>
  <c r="U33" i="11"/>
  <c r="G116" i="11"/>
  <c r="AV84" i="11"/>
  <c r="U100" i="11"/>
  <c r="AX14" i="11"/>
  <c r="AY14" i="11" s="1"/>
  <c r="AE14" i="11" s="1"/>
  <c r="U19" i="11"/>
  <c r="P87" i="11"/>
  <c r="AU50" i="11"/>
  <c r="P31" i="11"/>
  <c r="AW65" i="11"/>
  <c r="K56" i="11"/>
  <c r="K36" i="11"/>
  <c r="G45" i="11"/>
  <c r="P67" i="11"/>
  <c r="G54" i="11"/>
  <c r="AU65" i="11"/>
  <c r="AY65" i="11" s="1"/>
  <c r="AE65" i="11" s="1"/>
  <c r="Z80" i="11"/>
  <c r="G65" i="11"/>
  <c r="G15" i="11"/>
  <c r="Z103" i="11"/>
  <c r="G106" i="11"/>
  <c r="Z95" i="11"/>
  <c r="U22" i="11"/>
  <c r="P65" i="11"/>
  <c r="K91" i="11"/>
  <c r="G91" i="11"/>
  <c r="AW111" i="11"/>
  <c r="U112" i="11"/>
  <c r="U101" i="11"/>
  <c r="Z10" i="11"/>
  <c r="P82" i="11"/>
  <c r="P112" i="11"/>
  <c r="G89" i="11"/>
  <c r="P108" i="11"/>
  <c r="K112" i="11"/>
  <c r="P110" i="11"/>
  <c r="Z99" i="11"/>
  <c r="P99" i="11"/>
  <c r="U29" i="11"/>
  <c r="K54" i="11"/>
  <c r="Z58" i="11"/>
  <c r="P29" i="11"/>
  <c r="Z67" i="11"/>
  <c r="U38" i="11"/>
  <c r="K29" i="11"/>
  <c r="AT61" i="11"/>
  <c r="P34" i="11"/>
  <c r="Z90" i="11"/>
  <c r="G19" i="11"/>
  <c r="AW75" i="11"/>
  <c r="Z47" i="11"/>
  <c r="Z77" i="11"/>
  <c r="Z28" i="11"/>
  <c r="AT77" i="11"/>
  <c r="G64" i="11"/>
  <c r="U36" i="11"/>
  <c r="G27" i="11"/>
  <c r="K109" i="11"/>
  <c r="Z53" i="11"/>
  <c r="K20" i="11"/>
  <c r="U87" i="11"/>
  <c r="P57" i="11"/>
  <c r="U47" i="11"/>
  <c r="Z38" i="11"/>
  <c r="K106" i="11"/>
  <c r="Z36" i="11"/>
  <c r="P15" i="11"/>
  <c r="G13" i="11"/>
  <c r="G96" i="11"/>
  <c r="Z85" i="11"/>
  <c r="G82" i="11"/>
  <c r="AU71" i="11"/>
  <c r="P85" i="11"/>
  <c r="P68" i="11"/>
  <c r="G105" i="11"/>
  <c r="K84" i="11"/>
  <c r="AU12" i="11"/>
  <c r="AY12" i="11" s="1"/>
  <c r="AE12" i="11" s="1"/>
  <c r="K43" i="11"/>
  <c r="AT83" i="11"/>
  <c r="AX21" i="11"/>
  <c r="AY21" i="11" s="1"/>
  <c r="AE21" i="11" s="1"/>
  <c r="U70" i="11"/>
  <c r="AV106" i="11"/>
  <c r="AW58" i="11"/>
  <c r="AW88" i="11"/>
  <c r="G113" i="11"/>
  <c r="P70" i="11"/>
  <c r="G51" i="11"/>
  <c r="G69" i="11"/>
  <c r="AW71" i="11"/>
  <c r="G56" i="11"/>
  <c r="K58" i="11"/>
  <c r="AX62" i="11"/>
  <c r="AY62" i="11"/>
  <c r="AE62" i="11" s="1"/>
  <c r="G100" i="11"/>
  <c r="U68" i="11"/>
  <c r="Z102" i="11"/>
  <c r="P20" i="11"/>
  <c r="AW109" i="11"/>
  <c r="K93" i="11"/>
  <c r="U40" i="11"/>
  <c r="G72" i="11"/>
  <c r="G22" i="11"/>
  <c r="G101" i="11"/>
  <c r="P17" i="11"/>
  <c r="P10" i="11"/>
  <c r="U10" i="11"/>
  <c r="U31" i="11"/>
  <c r="Z43" i="11"/>
  <c r="K99" i="11"/>
  <c r="P91" i="11"/>
  <c r="AT88" i="11"/>
  <c r="P41" i="11"/>
  <c r="AT93" i="11"/>
  <c r="P89" i="11"/>
  <c r="G78" i="11"/>
  <c r="G95" i="11"/>
  <c r="AU76" i="11"/>
  <c r="Z12" i="11"/>
  <c r="K33" i="11"/>
  <c r="U15" i="11"/>
  <c r="Z72" i="11"/>
  <c r="U57" i="11"/>
  <c r="AW98" i="11"/>
  <c r="Z113" i="11"/>
  <c r="AU32" i="11"/>
  <c r="P80" i="11"/>
  <c r="K87" i="11"/>
  <c r="G76" i="11"/>
  <c r="Z65" i="11"/>
  <c r="AY43" i="11"/>
  <c r="AE43" i="11"/>
  <c r="P105" i="11"/>
  <c r="P92" i="11"/>
  <c r="U24" i="11"/>
  <c r="G31" i="11"/>
  <c r="K22" i="11"/>
  <c r="U17" i="11"/>
  <c r="Z24" i="11"/>
  <c r="AU13" i="11"/>
  <c r="AY13" i="11"/>
  <c r="AE13" i="11" s="1"/>
  <c r="Z46" i="11"/>
  <c r="K21" i="11"/>
  <c r="AE24" i="11"/>
  <c r="P78" i="11"/>
  <c r="AW80" i="11"/>
  <c r="AU116" i="11"/>
  <c r="U94" i="11"/>
  <c r="Z63" i="11"/>
  <c r="K38" i="11"/>
  <c r="AT108" i="11"/>
  <c r="Z111" i="11"/>
  <c r="K74" i="11"/>
  <c r="P63" i="11"/>
  <c r="AU27" i="11"/>
  <c r="AY27" i="11" s="1"/>
  <c r="AE27" i="11" s="1"/>
  <c r="AY22" i="11"/>
  <c r="AE22" i="11" s="1"/>
  <c r="P21" i="11"/>
  <c r="Z70" i="11"/>
  <c r="Z50" i="11"/>
  <c r="BM117" i="11"/>
  <c r="BG113" i="11"/>
  <c r="BM110" i="11"/>
  <c r="BL106" i="11"/>
  <c r="BH102" i="11"/>
  <c r="BM99" i="11"/>
  <c r="BI95" i="11"/>
  <c r="AX91" i="11"/>
  <c r="AY91" i="11" s="1"/>
  <c r="AE91" i="11" s="1"/>
  <c r="BI88" i="11"/>
  <c r="BI84" i="11"/>
  <c r="BM81" i="11"/>
  <c r="BH77" i="11"/>
  <c r="BN74" i="11"/>
  <c r="BG73" i="11"/>
  <c r="BN70" i="11"/>
  <c r="BH66" i="11"/>
  <c r="BM63" i="11"/>
  <c r="BL59" i="11"/>
  <c r="BM56" i="11"/>
  <c r="BI49" i="11"/>
  <c r="BG41" i="11"/>
  <c r="BI36" i="11"/>
  <c r="BH34" i="11"/>
  <c r="BL32" i="11"/>
  <c r="BH23" i="11"/>
  <c r="BJ23" i="11" s="1"/>
  <c r="AF23" i="11" s="1"/>
  <c r="BG12" i="11"/>
  <c r="BG48" i="11"/>
  <c r="BJ48" i="11" s="1"/>
  <c r="AF48" i="11" s="1"/>
  <c r="U117" i="11"/>
  <c r="Z74" i="11"/>
  <c r="G12" i="11"/>
  <c r="BL117" i="11"/>
  <c r="BN114" i="11"/>
  <c r="BL110" i="11"/>
  <c r="BI106" i="11"/>
  <c r="BG102" i="11"/>
  <c r="BL99" i="11"/>
  <c r="BH95" i="11"/>
  <c r="BN92" i="11"/>
  <c r="BH88" i="11"/>
  <c r="BH84" i="11"/>
  <c r="BL81" i="11"/>
  <c r="BG77" i="11"/>
  <c r="BM74" i="11"/>
  <c r="BM70" i="11"/>
  <c r="BG66" i="11"/>
  <c r="BL63" i="11"/>
  <c r="BI59" i="11"/>
  <c r="BL56" i="11"/>
  <c r="BH49" i="11"/>
  <c r="BI32" i="11"/>
  <c r="BL21" i="11"/>
  <c r="BH10" i="11"/>
  <c r="AV53" i="11"/>
  <c r="U115" i="11"/>
  <c r="Z44" i="11"/>
  <c r="Z107" i="11"/>
  <c r="P74" i="11"/>
  <c r="P50" i="11"/>
  <c r="BI117" i="11"/>
  <c r="BM114" i="11"/>
  <c r="BI110" i="11"/>
  <c r="BH106" i="11"/>
  <c r="BN103" i="11"/>
  <c r="BI99" i="11"/>
  <c r="BG95" i="11"/>
  <c r="BM92" i="11"/>
  <c r="BG88" i="11"/>
  <c r="BN85" i="11"/>
  <c r="BG84" i="11"/>
  <c r="BJ84" i="11" s="1"/>
  <c r="AF84" i="11" s="1"/>
  <c r="BI81" i="11"/>
  <c r="BN78" i="11"/>
  <c r="BL74" i="11"/>
  <c r="BL70" i="11"/>
  <c r="BI63" i="11"/>
  <c r="BH59" i="11"/>
  <c r="BI56" i="11"/>
  <c r="BM53" i="11"/>
  <c r="BM44" i="11"/>
  <c r="BH32" i="11"/>
  <c r="BI21" i="11"/>
  <c r="BL19" i="11"/>
  <c r="BG10" i="11"/>
  <c r="AT81" i="11"/>
  <c r="K70" i="11"/>
  <c r="BH117" i="11"/>
  <c r="BL114" i="11"/>
  <c r="BH110" i="11"/>
  <c r="BJ110" i="11" s="1"/>
  <c r="AF110" i="11" s="1"/>
  <c r="BG106" i="11"/>
  <c r="BM103" i="11"/>
  <c r="BH99" i="11"/>
  <c r="BN96" i="11"/>
  <c r="BL92" i="11"/>
  <c r="BN89" i="11"/>
  <c r="BM85" i="11"/>
  <c r="BH81" i="11"/>
  <c r="BM78" i="11"/>
  <c r="BI74" i="11"/>
  <c r="BI70" i="11"/>
  <c r="BN67" i="11"/>
  <c r="BH63" i="11"/>
  <c r="BJ63" i="11" s="1"/>
  <c r="AF63" i="11" s="1"/>
  <c r="BN60" i="11"/>
  <c r="BG59" i="11"/>
  <c r="BH56" i="11"/>
  <c r="BJ56" i="11" s="1"/>
  <c r="AF56" i="11" s="1"/>
  <c r="BL53" i="11"/>
  <c r="BI44" i="11"/>
  <c r="BN30" i="11"/>
  <c r="BH21" i="11"/>
  <c r="BH19" i="11"/>
  <c r="BL17" i="11"/>
  <c r="BN55" i="11"/>
  <c r="AW11" i="11"/>
  <c r="G23" i="11"/>
  <c r="G74" i="11"/>
  <c r="K49" i="11"/>
  <c r="P33" i="11"/>
  <c r="BG117" i="11"/>
  <c r="BI114" i="11"/>
  <c r="BG110" i="11"/>
  <c r="BN107" i="11"/>
  <c r="BL103" i="11"/>
  <c r="BG99" i="11"/>
  <c r="BM96" i="11"/>
  <c r="BI92" i="11"/>
  <c r="BM89" i="11"/>
  <c r="BL85" i="11"/>
  <c r="AW84" i="11"/>
  <c r="BG81" i="11"/>
  <c r="BL78" i="11"/>
  <c r="BH74" i="11"/>
  <c r="AU73" i="11"/>
  <c r="BH70" i="11"/>
  <c r="BM67" i="11"/>
  <c r="BO67" i="11" s="1"/>
  <c r="AG67" i="11" s="1"/>
  <c r="BG63" i="11"/>
  <c r="BM60" i="11"/>
  <c r="BI53" i="11"/>
  <c r="BN47" i="11"/>
  <c r="BH44" i="11"/>
  <c r="BN39" i="11"/>
  <c r="BM30" i="11"/>
  <c r="BI17" i="11"/>
  <c r="BG40" i="11"/>
  <c r="AW26" i="11"/>
  <c r="G35" i="11"/>
  <c r="G107" i="11"/>
  <c r="K100" i="11"/>
  <c r="U63" i="11"/>
  <c r="Z18" i="11"/>
  <c r="BN118" i="11"/>
  <c r="BH114" i="11"/>
  <c r="BN111" i="11"/>
  <c r="BM107" i="11"/>
  <c r="AW106" i="11"/>
  <c r="BI103" i="11"/>
  <c r="BN100" i="11"/>
  <c r="BL96" i="11"/>
  <c r="BH92" i="11"/>
  <c r="BL89" i="11"/>
  <c r="BI85" i="11"/>
  <c r="BI78" i="11"/>
  <c r="BN75" i="11"/>
  <c r="BG74" i="11"/>
  <c r="BN71" i="11"/>
  <c r="BG70" i="11"/>
  <c r="BL67" i="11"/>
  <c r="BN64" i="11"/>
  <c r="BL60" i="11"/>
  <c r="BH53" i="11"/>
  <c r="AU52" i="11"/>
  <c r="BM47" i="11"/>
  <c r="BG44" i="11"/>
  <c r="BM39" i="11"/>
  <c r="BL30" i="11"/>
  <c r="AY23" i="11"/>
  <c r="AE23" i="11" s="1"/>
  <c r="BH17" i="11"/>
  <c r="BL15" i="11"/>
  <c r="BI15" i="11"/>
  <c r="AV28" i="11"/>
  <c r="Z79" i="11"/>
  <c r="Z17" i="11"/>
  <c r="BL118" i="11"/>
  <c r="BL111" i="11"/>
  <c r="BO111" i="11"/>
  <c r="AG111" i="11"/>
  <c r="BI107" i="11"/>
  <c r="BN104" i="11"/>
  <c r="BG103" i="11"/>
  <c r="BL100" i="11"/>
  <c r="BH96" i="11"/>
  <c r="BH89" i="11"/>
  <c r="BG85" i="11"/>
  <c r="BM82" i="11"/>
  <c r="BG78" i="11"/>
  <c r="BL75" i="11"/>
  <c r="BL71" i="11"/>
  <c r="BH67" i="11"/>
  <c r="BL64" i="11"/>
  <c r="BH60" i="11"/>
  <c r="K59" i="11"/>
  <c r="BN57" i="11"/>
  <c r="BL50" i="11"/>
  <c r="BI47" i="11"/>
  <c r="BM42" i="11"/>
  <c r="BH15" i="11"/>
  <c r="P114" i="11"/>
  <c r="BI118" i="11"/>
  <c r="BN115" i="11"/>
  <c r="BI111" i="11"/>
  <c r="BH107" i="11"/>
  <c r="BM104" i="11"/>
  <c r="BI100" i="11"/>
  <c r="BG96" i="11"/>
  <c r="BN93" i="11"/>
  <c r="BG89" i="11"/>
  <c r="BN86" i="11"/>
  <c r="BL82" i="11"/>
  <c r="BN79" i="11"/>
  <c r="BI75" i="11"/>
  <c r="BI71" i="11"/>
  <c r="BG67" i="11"/>
  <c r="BI64" i="11"/>
  <c r="BG60" i="11"/>
  <c r="BL57" i="11"/>
  <c r="BN54" i="11"/>
  <c r="BH50" i="11"/>
  <c r="BI42" i="11"/>
  <c r="BN26" i="11"/>
  <c r="Z61" i="11"/>
  <c r="BH118" i="11"/>
  <c r="BM115" i="11"/>
  <c r="BH111" i="11"/>
  <c r="BN108" i="11"/>
  <c r="BG107" i="11"/>
  <c r="BL104" i="11"/>
  <c r="BH100" i="11"/>
  <c r="BN97" i="11"/>
  <c r="BM93" i="11"/>
  <c r="BM86" i="11"/>
  <c r="BO86" i="11" s="1"/>
  <c r="AG86" i="11" s="1"/>
  <c r="U85" i="11"/>
  <c r="BI82" i="11"/>
  <c r="BM79" i="11"/>
  <c r="AW78" i="11"/>
  <c r="BH75" i="11"/>
  <c r="BH71" i="11"/>
  <c r="BH64" i="11"/>
  <c r="BN61" i="11"/>
  <c r="AX60" i="11"/>
  <c r="BI57" i="11"/>
  <c r="BM54" i="11"/>
  <c r="BG50" i="11"/>
  <c r="BN45" i="11"/>
  <c r="AU44" i="11"/>
  <c r="BH42" i="11"/>
  <c r="BN37" i="11"/>
  <c r="AX26" i="11"/>
  <c r="BN13" i="11"/>
  <c r="BM13" i="11"/>
  <c r="Z31" i="11"/>
  <c r="G26" i="11"/>
  <c r="K78" i="11"/>
  <c r="Z22" i="11"/>
  <c r="K10" i="11"/>
  <c r="BI115" i="11"/>
  <c r="BJ115" i="11" s="1"/>
  <c r="AF115" i="11" s="1"/>
  <c r="BL108" i="11"/>
  <c r="BH104" i="11"/>
  <c r="K103" i="11"/>
  <c r="BN101" i="11"/>
  <c r="BL97" i="11"/>
  <c r="BI93" i="11"/>
  <c r="BM90" i="11"/>
  <c r="BO90" i="11" s="1"/>
  <c r="AG90" i="11" s="1"/>
  <c r="BI86" i="11"/>
  <c r="BG82" i="11"/>
  <c r="BI79" i="11"/>
  <c r="AX71" i="11"/>
  <c r="BM68" i="11"/>
  <c r="BO68" i="11" s="1"/>
  <c r="AG68" i="11" s="1"/>
  <c r="BL61" i="11"/>
  <c r="BG57" i="11"/>
  <c r="BI54" i="11"/>
  <c r="BL45" i="11"/>
  <c r="BM40" i="11"/>
  <c r="BN33" i="11"/>
  <c r="BN22" i="11"/>
  <c r="AU15" i="11"/>
  <c r="AY15" i="11" s="1"/>
  <c r="AE15" i="11" s="1"/>
  <c r="BL13" i="11"/>
  <c r="BN11" i="11"/>
  <c r="M30" i="9"/>
  <c r="K89" i="11"/>
  <c r="P22" i="11"/>
  <c r="P9" i="11"/>
  <c r="BG115" i="11"/>
  <c r="BM112" i="11"/>
  <c r="BH108" i="11"/>
  <c r="BL101" i="11"/>
  <c r="BH97" i="11"/>
  <c r="BG93" i="11"/>
  <c r="BI90" i="11"/>
  <c r="BG86" i="11"/>
  <c r="BN83" i="11"/>
  <c r="BG79" i="11"/>
  <c r="BM76" i="11"/>
  <c r="BM72" i="11"/>
  <c r="BO72" i="11" s="1"/>
  <c r="AG72" i="11" s="1"/>
  <c r="BI68" i="11"/>
  <c r="BM65" i="11"/>
  <c r="BH61" i="11"/>
  <c r="BM51" i="11"/>
  <c r="BI48" i="11"/>
  <c r="BI40" i="11"/>
  <c r="BH31" i="11"/>
  <c r="P71" i="11"/>
  <c r="G30" i="11"/>
  <c r="W6" i="11"/>
  <c r="BN116" i="11"/>
  <c r="BL112" i="11"/>
  <c r="BG108" i="11"/>
  <c r="BN105" i="11"/>
  <c r="BI101" i="11"/>
  <c r="BN98" i="11"/>
  <c r="BG97" i="11"/>
  <c r="BN94" i="11"/>
  <c r="BH90" i="11"/>
  <c r="BN87" i="11"/>
  <c r="BM83" i="11"/>
  <c r="BL76" i="11"/>
  <c r="BO76" i="11" s="1"/>
  <c r="AG76" i="11" s="1"/>
  <c r="BL72" i="11"/>
  <c r="BH68" i="11"/>
  <c r="BL65" i="11"/>
  <c r="AU64" i="11"/>
  <c r="BG61" i="11"/>
  <c r="BN58" i="11"/>
  <c r="BI51" i="11"/>
  <c r="BH48" i="11"/>
  <c r="AW45" i="11"/>
  <c r="AY45" i="11"/>
  <c r="AE45" i="11" s="1"/>
  <c r="BH40" i="11"/>
  <c r="BG31" i="11"/>
  <c r="BN20" i="11"/>
  <c r="BN18" i="11"/>
  <c r="P13" i="11"/>
  <c r="G42" i="11"/>
  <c r="U110" i="11"/>
  <c r="U67" i="11"/>
  <c r="M6" i="11"/>
  <c r="BL116" i="11"/>
  <c r="BH112" i="11"/>
  <c r="BM109" i="11"/>
  <c r="BO109" i="11" s="1"/>
  <c r="BL105" i="11"/>
  <c r="BG101" i="11"/>
  <c r="BL98" i="11"/>
  <c r="BL94" i="11"/>
  <c r="BO94" i="11" s="1"/>
  <c r="AG94" i="11" s="1"/>
  <c r="BN91" i="11"/>
  <c r="BL87" i="11"/>
  <c r="BI83" i="11"/>
  <c r="BM80" i="11"/>
  <c r="BH76" i="11"/>
  <c r="BH72" i="11"/>
  <c r="BN69" i="11"/>
  <c r="BH65" i="11"/>
  <c r="BM62" i="11"/>
  <c r="BO62" i="11" s="1"/>
  <c r="AG62" i="11" s="1"/>
  <c r="BL58" i="11"/>
  <c r="BL55" i="11"/>
  <c r="BN43" i="11"/>
  <c r="AU37" i="11"/>
  <c r="AY37" i="11" s="1"/>
  <c r="AE37" i="11" s="1"/>
  <c r="Z57" i="11"/>
  <c r="BI116" i="11"/>
  <c r="BN113" i="11"/>
  <c r="BG112" i="11"/>
  <c r="BJ112" i="11" s="1"/>
  <c r="AF112" i="11" s="1"/>
  <c r="BL109" i="11"/>
  <c r="AG109" i="11"/>
  <c r="BI105" i="11"/>
  <c r="BI98" i="11"/>
  <c r="BI94" i="11"/>
  <c r="BM91" i="11"/>
  <c r="BI87" i="11"/>
  <c r="BH83" i="11"/>
  <c r="BL80" i="11"/>
  <c r="BG76" i="11"/>
  <c r="BN73" i="11"/>
  <c r="BG72" i="11"/>
  <c r="BM69" i="11"/>
  <c r="BG65" i="11"/>
  <c r="BL62" i="11"/>
  <c r="BI58" i="11"/>
  <c r="BI55" i="11"/>
  <c r="BM43" i="11"/>
  <c r="BO43" i="11" s="1"/>
  <c r="AG43" i="11" s="1"/>
  <c r="BM38" i="11"/>
  <c r="BO38" i="11" s="1"/>
  <c r="AG38" i="11" s="1"/>
  <c r="BH29" i="11"/>
  <c r="BL27" i="11"/>
  <c r="AW16" i="11"/>
  <c r="Z97" i="11"/>
  <c r="BH116" i="11"/>
  <c r="BM113" i="11"/>
  <c r="BI109" i="11"/>
  <c r="BH105" i="11"/>
  <c r="BN102" i="11"/>
  <c r="BH98" i="11"/>
  <c r="BH94" i="11"/>
  <c r="BL91" i="11"/>
  <c r="BH87" i="11"/>
  <c r="AT86" i="11"/>
  <c r="BG83" i="11"/>
  <c r="BI80" i="11"/>
  <c r="BN77" i="11"/>
  <c r="BM73" i="11"/>
  <c r="BO73" i="11" s="1"/>
  <c r="AG73" i="11" s="1"/>
  <c r="BL69" i="11"/>
  <c r="BN66" i="11"/>
  <c r="BI62" i="11"/>
  <c r="BH58" i="11"/>
  <c r="BH55" i="11"/>
  <c r="BN52" i="11"/>
  <c r="BM46" i="11"/>
  <c r="BL43" i="11"/>
  <c r="BL38" i="11"/>
  <c r="BG29" i="11"/>
  <c r="BI27" i="11"/>
  <c r="BN14" i="11"/>
  <c r="G110" i="11"/>
  <c r="AU82" i="11"/>
  <c r="AY82" i="11" s="1"/>
  <c r="AE82" i="11" s="1"/>
  <c r="Z33" i="11"/>
  <c r="U35" i="11"/>
  <c r="BG116" i="11"/>
  <c r="BL113" i="11"/>
  <c r="BH109" i="11"/>
  <c r="BG105" i="11"/>
  <c r="BM102" i="11"/>
  <c r="BG98" i="11"/>
  <c r="BN95" i="11"/>
  <c r="BG94" i="11"/>
  <c r="BI91" i="11"/>
  <c r="BN88" i="11"/>
  <c r="BG87" i="11"/>
  <c r="BN84" i="11"/>
  <c r="BH80" i="11"/>
  <c r="BM77" i="11"/>
  <c r="BL73" i="11"/>
  <c r="BI69" i="11"/>
  <c r="BM66" i="11"/>
  <c r="BH62" i="11"/>
  <c r="BG55" i="11"/>
  <c r="BL52" i="11"/>
  <c r="BN49" i="11"/>
  <c r="BI46" i="11"/>
  <c r="BI43" i="11"/>
  <c r="BI38" i="11"/>
  <c r="BH27" i="11"/>
  <c r="AT18" i="11"/>
  <c r="AY18" i="11" s="1"/>
  <c r="AE18" i="11"/>
  <c r="G28" i="11"/>
  <c r="U81" i="11"/>
  <c r="BI113" i="11"/>
  <c r="BG109" i="11"/>
  <c r="BN106" i="11"/>
  <c r="BL102" i="11"/>
  <c r="BM95" i="11"/>
  <c r="BH91" i="11"/>
  <c r="BM88" i="11"/>
  <c r="BM84" i="11"/>
  <c r="BG80" i="11"/>
  <c r="BL77" i="11"/>
  <c r="BI73" i="11"/>
  <c r="BH69" i="11"/>
  <c r="BL66" i="11"/>
  <c r="BG62" i="11"/>
  <c r="BN59" i="11"/>
  <c r="BH52" i="11"/>
  <c r="AU51" i="11"/>
  <c r="BM49" i="11"/>
  <c r="BH46" i="11"/>
  <c r="BN41" i="11"/>
  <c r="BH38" i="11"/>
  <c r="BL34" i="11"/>
  <c r="BL25" i="11"/>
  <c r="BL23" i="11"/>
  <c r="BM58" i="11"/>
  <c r="G60" i="11"/>
  <c r="AU111" i="11"/>
  <c r="U93" i="11"/>
  <c r="K57" i="11"/>
  <c r="BN117" i="11"/>
  <c r="BH113" i="11"/>
  <c r="BN110" i="11"/>
  <c r="BM106" i="11"/>
  <c r="BI102" i="11"/>
  <c r="BN99" i="11"/>
  <c r="BL95" i="11"/>
  <c r="BG91" i="11"/>
  <c r="BL88" i="11"/>
  <c r="BL84" i="11"/>
  <c r="BN81" i="11"/>
  <c r="BI77" i="11"/>
  <c r="BH73" i="11"/>
  <c r="BG69" i="11"/>
  <c r="BI66" i="11"/>
  <c r="BN63" i="11"/>
  <c r="BM59" i="11"/>
  <c r="BN56" i="11"/>
  <c r="BG52" i="11"/>
  <c r="BL49" i="11"/>
  <c r="AY48" i="11"/>
  <c r="AE48" i="11" s="1"/>
  <c r="BG46" i="11"/>
  <c r="BM41" i="11"/>
  <c r="BL36" i="11"/>
  <c r="BI34" i="11"/>
  <c r="BI25" i="11"/>
  <c r="BI23" i="11"/>
  <c r="U25" i="11"/>
  <c r="U82" i="11"/>
  <c r="AW104" i="11"/>
  <c r="AW73" i="11"/>
  <c r="K68" i="11"/>
  <c r="AX64" i="11"/>
  <c r="U59" i="11"/>
  <c r="AT44" i="11"/>
  <c r="K34" i="11"/>
  <c r="G99" i="11"/>
  <c r="AX100" i="11"/>
  <c r="AV90" i="11"/>
  <c r="AT85" i="11"/>
  <c r="AV32" i="11"/>
  <c r="AX16" i="11"/>
  <c r="AT10" i="11"/>
  <c r="AY10" i="11" s="1"/>
  <c r="AE10" i="11" s="1"/>
  <c r="K39" i="11"/>
  <c r="Z118" i="11"/>
  <c r="P73" i="11"/>
  <c r="U64" i="11"/>
  <c r="BN9" i="11"/>
  <c r="P81" i="11"/>
  <c r="Z56" i="11"/>
  <c r="BM9" i="11"/>
  <c r="BO9" i="11" s="1"/>
  <c r="AG9" i="11" s="1"/>
  <c r="U48" i="11"/>
  <c r="U56" i="11"/>
  <c r="Z87" i="11"/>
  <c r="AY70" i="11"/>
  <c r="AE70" i="11" s="1"/>
  <c r="G34" i="11"/>
  <c r="P64" i="11"/>
  <c r="U13" i="11"/>
  <c r="G29" i="11"/>
  <c r="Z23" i="11"/>
  <c r="K18" i="11"/>
  <c r="AX116" i="11"/>
  <c r="Z13" i="11"/>
  <c r="P118" i="11"/>
  <c r="K108" i="11"/>
  <c r="P95" i="11"/>
  <c r="AU66" i="11"/>
  <c r="AY66" i="11" s="1"/>
  <c r="AE66" i="11" s="1"/>
  <c r="AX54" i="11"/>
  <c r="AY54" i="11" s="1"/>
  <c r="AE54" i="11" s="1"/>
  <c r="A4" i="13"/>
  <c r="Z45" i="11"/>
  <c r="P86" i="11"/>
  <c r="U23" i="11"/>
  <c r="U69" i="11"/>
  <c r="AV56" i="11"/>
  <c r="P69" i="11"/>
  <c r="K77" i="11"/>
  <c r="AV77" i="11"/>
  <c r="K55" i="11"/>
  <c r="Z42" i="11"/>
  <c r="AY31" i="11"/>
  <c r="AE31" i="11"/>
  <c r="G94" i="11"/>
  <c r="G32" i="11"/>
  <c r="G68" i="11"/>
  <c r="P42" i="11"/>
  <c r="P39" i="11"/>
  <c r="AX25" i="11"/>
  <c r="P59" i="11"/>
  <c r="Z82" i="11"/>
  <c r="AV116" i="11"/>
  <c r="U91" i="11"/>
  <c r="Z48" i="11"/>
  <c r="AX35" i="11"/>
  <c r="AY35" i="11"/>
  <c r="AE35" i="11" s="1"/>
  <c r="P48" i="11"/>
  <c r="P25" i="11"/>
  <c r="U42" i="11"/>
  <c r="G55" i="11"/>
  <c r="U86" i="11"/>
  <c r="AU63" i="11"/>
  <c r="P16" i="11"/>
  <c r="G20" i="11"/>
  <c r="AX52" i="11"/>
  <c r="P27" i="11"/>
  <c r="AN5" i="9"/>
  <c r="V5" i="9" s="1"/>
  <c r="DH10" i="1"/>
  <c r="DH9" i="1"/>
  <c r="J70" i="18"/>
  <c r="P70" i="18"/>
  <c r="M71" i="18"/>
  <c r="R71" i="18"/>
  <c r="M70" i="18"/>
  <c r="Q70" i="18"/>
  <c r="R70" i="18"/>
  <c r="I70" i="18"/>
  <c r="Q72" i="18"/>
  <c r="AN7" i="9"/>
  <c r="V7" i="9" s="1"/>
  <c r="G66" i="18"/>
  <c r="Z92" i="18"/>
  <c r="H76" i="18"/>
  <c r="S76" i="18"/>
  <c r="J76" i="18"/>
  <c r="F44" i="18"/>
  <c r="G67" i="18"/>
  <c r="U74" i="18"/>
  <c r="DD11" i="1"/>
  <c r="DB11" i="1"/>
  <c r="J161" i="1"/>
  <c r="P161" i="1"/>
  <c r="AY19" i="1"/>
  <c r="S19" i="4" s="1"/>
  <c r="C54" i="6"/>
  <c r="AZ19" i="1"/>
  <c r="T19" i="4" s="1"/>
  <c r="BA19" i="1"/>
  <c r="U19" i="4" s="1"/>
  <c r="BC19" i="1"/>
  <c r="BB19" i="1"/>
  <c r="R19" i="4" s="1"/>
  <c r="O172" i="1"/>
  <c r="Z163" i="1"/>
  <c r="AF13" i="18" s="1"/>
  <c r="L34" i="18" s="1"/>
  <c r="AD163" i="1"/>
  <c r="DD13" i="1"/>
  <c r="DB9" i="1"/>
  <c r="N202" i="1"/>
  <c r="E200" i="1"/>
  <c r="N197" i="1"/>
  <c r="N191" i="1"/>
  <c r="DH15" i="1"/>
  <c r="DB13" i="1"/>
  <c r="E205" i="1"/>
  <c r="P191" i="1"/>
  <c r="G179" i="1"/>
  <c r="AA162" i="1"/>
  <c r="AD162" i="1"/>
  <c r="N220" i="1"/>
  <c r="P197" i="1"/>
  <c r="BK45" i="1"/>
  <c r="M25" i="4" s="1"/>
  <c r="AE162" i="1"/>
  <c r="P207" i="1"/>
  <c r="AB163" i="1"/>
  <c r="F224" i="1"/>
  <c r="AV26" i="1"/>
  <c r="AV28" i="1" s="1"/>
  <c r="H56" i="6" s="1"/>
  <c r="AC162" i="1"/>
  <c r="BJ45" i="1"/>
  <c r="L25" i="4" s="1"/>
  <c r="P199" i="1"/>
  <c r="K24" i="4"/>
  <c r="DB15" i="1"/>
  <c r="Z162" i="1"/>
  <c r="AA163" i="1"/>
  <c r="U162" i="1"/>
  <c r="V162" i="1" s="1"/>
  <c r="DH14" i="1"/>
  <c r="W162" i="1"/>
  <c r="AA12" i="18" s="1"/>
  <c r="K33" i="18" s="1"/>
  <c r="DF14" i="1"/>
  <c r="P209" i="1"/>
  <c r="Q217" i="1"/>
  <c r="B42" i="7" s="1"/>
  <c r="DH16" i="1"/>
  <c r="DD14" i="1"/>
  <c r="N214" i="1"/>
  <c r="O203" i="1"/>
  <c r="P189" i="1"/>
  <c r="O183" i="1"/>
  <c r="BN27" i="1"/>
  <c r="DD15" i="1"/>
  <c r="Y162" i="1"/>
  <c r="DF16" i="1"/>
  <c r="DB14" i="1"/>
  <c r="P223" i="1"/>
  <c r="N221" i="1"/>
  <c r="P201" i="1"/>
  <c r="N183" i="1"/>
  <c r="P180" i="1"/>
  <c r="DD9" i="1"/>
  <c r="DD16" i="1"/>
  <c r="O223" i="1"/>
  <c r="N213" i="1"/>
  <c r="E211" i="1"/>
  <c r="N189" i="1"/>
  <c r="P183" i="1"/>
  <c r="U163" i="1"/>
  <c r="AD13" i="18" s="1"/>
  <c r="DB16" i="1"/>
  <c r="O180" i="1"/>
  <c r="N182" i="1"/>
  <c r="W163" i="1"/>
  <c r="P213" i="1"/>
  <c r="O205" i="1"/>
  <c r="E203" i="1"/>
  <c r="N180" i="1"/>
  <c r="P164" i="1"/>
  <c r="AE163" i="1"/>
  <c r="DH13" i="1"/>
  <c r="N216" i="1"/>
  <c r="O213" i="1"/>
  <c r="N195" i="1"/>
  <c r="O164" i="1"/>
  <c r="DF13" i="1"/>
  <c r="P215" i="1"/>
  <c r="O197" i="1"/>
  <c r="O191" i="1"/>
  <c r="AY16" i="1"/>
  <c r="S16" i="4" s="1"/>
  <c r="AZ16" i="1"/>
  <c r="T16" i="4" s="1"/>
  <c r="BA16" i="1"/>
  <c r="U16" i="4" s="1"/>
  <c r="BB16" i="1"/>
  <c r="R16" i="4" s="1"/>
  <c r="BC16" i="1"/>
  <c r="C51" i="6"/>
  <c r="AR14" i="1"/>
  <c r="BG14" i="1" s="1"/>
  <c r="BA14" i="1"/>
  <c r="U14" i="4"/>
  <c r="BB14" i="1"/>
  <c r="R14" i="4" s="1"/>
  <c r="BC14" i="1"/>
  <c r="C49" i="6"/>
  <c r="AY14" i="1"/>
  <c r="S14" i="4"/>
  <c r="AZ14" i="1"/>
  <c r="T14" i="4" s="1"/>
  <c r="O173" i="1"/>
  <c r="P173" i="1"/>
  <c r="E190" i="1"/>
  <c r="E216" i="1"/>
  <c r="N211" i="1"/>
  <c r="N209" i="1"/>
  <c r="N207" i="1"/>
  <c r="N205" i="1"/>
  <c r="N203" i="1"/>
  <c r="N201" i="1"/>
  <c r="N199" i="1"/>
  <c r="N187" i="1"/>
  <c r="E182" i="1"/>
  <c r="AY7" i="1"/>
  <c r="S7" i="4" s="1"/>
  <c r="F179" i="1"/>
  <c r="AU25" i="1"/>
  <c r="AU28" i="1"/>
  <c r="N218" i="1"/>
  <c r="AZ7" i="1"/>
  <c r="T7" i="4"/>
  <c r="N224" i="1"/>
  <c r="N192" i="1"/>
  <c r="AY10" i="1"/>
  <c r="S10" i="4"/>
  <c r="DF10" i="1"/>
  <c r="E197" i="1"/>
  <c r="BL25" i="1"/>
  <c r="DD10" i="1"/>
  <c r="N184" i="1"/>
  <c r="BK24" i="1"/>
  <c r="DB10" i="1"/>
  <c r="AR7" i="1"/>
  <c r="BN7" i="1"/>
  <c r="N223" i="1"/>
  <c r="N194" i="1"/>
  <c r="AR19" i="1"/>
  <c r="BJ19" i="1" s="1"/>
  <c r="DH12" i="1"/>
  <c r="P172" i="1"/>
  <c r="BG26" i="1"/>
  <c r="DF12" i="1"/>
  <c r="G212" i="1"/>
  <c r="G210" i="1"/>
  <c r="G208" i="1"/>
  <c r="G206" i="1"/>
  <c r="G204" i="1"/>
  <c r="G202" i="1"/>
  <c r="G200" i="1"/>
  <c r="G198" i="1"/>
  <c r="BF25" i="1"/>
  <c r="O160" i="1"/>
  <c r="DD12" i="1"/>
  <c r="DF9" i="1"/>
  <c r="G221" i="1"/>
  <c r="G219" i="1"/>
  <c r="P196" i="1"/>
  <c r="N193" i="1"/>
  <c r="N186" i="1"/>
  <c r="BE24" i="1"/>
  <c r="Q185" i="1"/>
  <c r="B10" i="7" s="1"/>
  <c r="DB12" i="1"/>
  <c r="P193" i="1"/>
  <c r="AR16" i="1"/>
  <c r="P195" i="1"/>
  <c r="O185" i="1"/>
  <c r="AR50" i="1"/>
  <c r="C6" i="8"/>
  <c r="P224" i="1"/>
  <c r="E214" i="1"/>
  <c r="N212" i="1"/>
  <c r="O210" i="1"/>
  <c r="O208" i="1"/>
  <c r="O206" i="1"/>
  <c r="O204" i="1"/>
  <c r="O202" i="1"/>
  <c r="O200" i="1"/>
  <c r="O198" i="1"/>
  <c r="O195" i="1"/>
  <c r="N185" i="1"/>
  <c r="P175" i="1"/>
  <c r="BH27" i="1"/>
  <c r="O224" i="1"/>
  <c r="N188" i="1"/>
  <c r="P185" i="1"/>
  <c r="O175" i="1"/>
  <c r="AW27" i="1"/>
  <c r="AU50" i="1"/>
  <c r="F6" i="8"/>
  <c r="P71" i="18"/>
  <c r="G69" i="18"/>
  <c r="L72" i="18"/>
  <c r="O72" i="18"/>
  <c r="Z94" i="18"/>
  <c r="H71" i="18"/>
  <c r="N71" i="18"/>
  <c r="X71" i="18"/>
  <c r="T71" i="18"/>
  <c r="O71" i="18"/>
  <c r="F45" i="18"/>
  <c r="J71" i="18"/>
  <c r="K71" i="18"/>
  <c r="I71" i="18"/>
  <c r="U71" i="18"/>
  <c r="S71" i="18"/>
  <c r="W71" i="18"/>
  <c r="Q71" i="18"/>
  <c r="L71" i="18"/>
  <c r="L70" i="18"/>
  <c r="T70" i="18"/>
  <c r="K70" i="18"/>
  <c r="V74" i="18"/>
  <c r="H70" i="18"/>
  <c r="R74" i="18"/>
  <c r="S70" i="18"/>
  <c r="X74" i="18"/>
  <c r="O70" i="18"/>
  <c r="U70" i="18"/>
  <c r="W70" i="18"/>
  <c r="V70" i="18"/>
  <c r="N70" i="18"/>
  <c r="R17" i="9"/>
  <c r="I26" i="9"/>
  <c r="F52" i="10" s="1"/>
  <c r="X76" i="18"/>
  <c r="T76" i="18"/>
  <c r="V76" i="18"/>
  <c r="W76" i="18"/>
  <c r="Q76" i="18"/>
  <c r="N76" i="18"/>
  <c r="K76" i="18"/>
  <c r="P76" i="18"/>
  <c r="I76" i="18"/>
  <c r="M76" i="18"/>
  <c r="L76" i="18"/>
  <c r="U76" i="18"/>
  <c r="O76" i="18"/>
  <c r="X72" i="18"/>
  <c r="U77" i="18"/>
  <c r="U35" i="18" s="1"/>
  <c r="I77" i="18"/>
  <c r="J77" i="18"/>
  <c r="L77" i="18"/>
  <c r="U79" i="18"/>
  <c r="P77" i="18"/>
  <c r="O77" i="18"/>
  <c r="V77" i="18"/>
  <c r="K77" i="18"/>
  <c r="X77" i="18"/>
  <c r="I74" i="18"/>
  <c r="O73" i="18"/>
  <c r="J81" i="18"/>
  <c r="J72" i="18"/>
  <c r="R72" i="18"/>
  <c r="S74" i="18"/>
  <c r="W81" i="18"/>
  <c r="M73" i="18"/>
  <c r="J73" i="18"/>
  <c r="J74" i="18"/>
  <c r="I73" i="18"/>
  <c r="L73" i="18"/>
  <c r="U81" i="18"/>
  <c r="V73" i="18"/>
  <c r="G81" i="18"/>
  <c r="T73" i="18"/>
  <c r="Q74" i="18"/>
  <c r="M81" i="18"/>
  <c r="W72" i="18"/>
  <c r="W73" i="18"/>
  <c r="Q73" i="18"/>
  <c r="T74" i="18"/>
  <c r="R81" i="18"/>
  <c r="S81" i="18"/>
  <c r="T72" i="18"/>
  <c r="T35" i="18" s="1"/>
  <c r="H73" i="18"/>
  <c r="K74" i="18"/>
  <c r="O81" i="18"/>
  <c r="K72" i="18"/>
  <c r="R73" i="18"/>
  <c r="X73" i="18"/>
  <c r="I81" i="18"/>
  <c r="M72" i="18"/>
  <c r="N73" i="18"/>
  <c r="L74" i="18"/>
  <c r="Q81" i="18"/>
  <c r="K81" i="18"/>
  <c r="P72" i="18"/>
  <c r="S73" i="18"/>
  <c r="M74" i="18"/>
  <c r="N81" i="18"/>
  <c r="N72" i="18"/>
  <c r="X81" i="18"/>
  <c r="U72" i="18"/>
  <c r="P73" i="18"/>
  <c r="H74" i="18"/>
  <c r="T81" i="18"/>
  <c r="V81" i="18"/>
  <c r="U73" i="18"/>
  <c r="P81" i="18"/>
  <c r="I72" i="18"/>
  <c r="O74" i="18"/>
  <c r="P74" i="18"/>
  <c r="Z107" i="18"/>
  <c r="S72" i="18"/>
  <c r="N74" i="18"/>
  <c r="V72" i="18"/>
  <c r="H81" i="18"/>
  <c r="G65" i="18"/>
  <c r="T68" i="18"/>
  <c r="L68" i="18"/>
  <c r="X68" i="18"/>
  <c r="Z91" i="18"/>
  <c r="S68" i="18"/>
  <c r="N68" i="18"/>
  <c r="U68" i="18"/>
  <c r="I68" i="18"/>
  <c r="J68" i="18"/>
  <c r="K68" i="18"/>
  <c r="M68" i="18"/>
  <c r="H68" i="18"/>
  <c r="V68" i="18"/>
  <c r="P68" i="18"/>
  <c r="Q68" i="18"/>
  <c r="W68" i="18"/>
  <c r="R68" i="18"/>
  <c r="O62" i="18"/>
  <c r="I62" i="18"/>
  <c r="N66" i="18"/>
  <c r="S62" i="18"/>
  <c r="K62" i="18"/>
  <c r="W62" i="18"/>
  <c r="O67" i="18"/>
  <c r="T66" i="18"/>
  <c r="H66" i="18"/>
  <c r="N67" i="18"/>
  <c r="R66" i="18"/>
  <c r="R67" i="18"/>
  <c r="P67" i="18"/>
  <c r="Q67" i="18"/>
  <c r="I67" i="18"/>
  <c r="K67" i="18"/>
  <c r="U67" i="18"/>
  <c r="L67" i="18"/>
  <c r="T67" i="18"/>
  <c r="V67" i="18"/>
  <c r="X67" i="18"/>
  <c r="M67" i="18"/>
  <c r="S67" i="18"/>
  <c r="Z90" i="18"/>
  <c r="W67" i="18"/>
  <c r="G61" i="18"/>
  <c r="F38" i="18"/>
  <c r="J67" i="18"/>
  <c r="G64" i="18"/>
  <c r="H77" i="18"/>
  <c r="Q62" i="18"/>
  <c r="R77" i="18"/>
  <c r="S77" i="18"/>
  <c r="N62" i="18"/>
  <c r="N77" i="18"/>
  <c r="V62" i="18"/>
  <c r="R62" i="18"/>
  <c r="W77" i="18"/>
  <c r="T77" i="18"/>
  <c r="J62" i="18"/>
  <c r="I78" i="18"/>
  <c r="T62" i="18"/>
  <c r="X62" i="18"/>
  <c r="U62" i="18"/>
  <c r="G73" i="18"/>
  <c r="L62" i="18"/>
  <c r="M62" i="18"/>
  <c r="P62" i="18"/>
  <c r="Q77" i="18"/>
  <c r="H65" i="18"/>
  <c r="M63" i="18"/>
  <c r="Z88" i="18"/>
  <c r="G79" i="18"/>
  <c r="G62" i="18"/>
  <c r="O65" i="18"/>
  <c r="Z106" i="18"/>
  <c r="S63" i="18"/>
  <c r="Q65" i="18"/>
  <c r="F56" i="18"/>
  <c r="H63" i="18"/>
  <c r="L66" i="18"/>
  <c r="O66" i="18"/>
  <c r="S66" i="18"/>
  <c r="M66" i="18"/>
  <c r="V66" i="18"/>
  <c r="G63" i="18"/>
  <c r="W66" i="18"/>
  <c r="F51" i="18"/>
  <c r="U66" i="18"/>
  <c r="J66" i="18"/>
  <c r="P66" i="18"/>
  <c r="G80" i="18"/>
  <c r="Q66" i="18"/>
  <c r="I66" i="18"/>
  <c r="X66" i="18"/>
  <c r="Z89" i="18"/>
  <c r="P63" i="18"/>
  <c r="J78" i="18"/>
  <c r="L78" i="18"/>
  <c r="O63" i="18"/>
  <c r="T78" i="18"/>
  <c r="K63" i="18"/>
  <c r="W63" i="18"/>
  <c r="Q63" i="18"/>
  <c r="P78" i="18"/>
  <c r="I63" i="18"/>
  <c r="V78" i="18"/>
  <c r="U63" i="18"/>
  <c r="R63" i="18"/>
  <c r="V63" i="18"/>
  <c r="S78" i="18"/>
  <c r="X63" i="18"/>
  <c r="F49" i="18"/>
  <c r="K78" i="18"/>
  <c r="U78" i="18"/>
  <c r="L63" i="18"/>
  <c r="N78" i="18"/>
  <c r="H78" i="18"/>
  <c r="W78" i="18"/>
  <c r="T63" i="18"/>
  <c r="N63" i="18"/>
  <c r="Q78" i="18"/>
  <c r="O78" i="18"/>
  <c r="M78" i="18"/>
  <c r="R78" i="18"/>
  <c r="Z104" i="18"/>
  <c r="G77" i="18"/>
  <c r="F55" i="18"/>
  <c r="F54" i="18"/>
  <c r="L65" i="18"/>
  <c r="G74" i="18"/>
  <c r="R79" i="18"/>
  <c r="P79" i="18"/>
  <c r="I79" i="18"/>
  <c r="O79" i="18"/>
  <c r="V80" i="18"/>
  <c r="S65" i="18"/>
  <c r="F46" i="18"/>
  <c r="L79" i="18"/>
  <c r="I65" i="18"/>
  <c r="T65" i="18"/>
  <c r="W79" i="18"/>
  <c r="M79" i="18"/>
  <c r="K79" i="18"/>
  <c r="J65" i="18"/>
  <c r="H79" i="18"/>
  <c r="N79" i="18"/>
  <c r="X79" i="18"/>
  <c r="M65" i="18"/>
  <c r="R65" i="18"/>
  <c r="Z99" i="18"/>
  <c r="W65" i="18"/>
  <c r="X65" i="18"/>
  <c r="Q79" i="18"/>
  <c r="V65" i="18"/>
  <c r="J79" i="18"/>
  <c r="N65" i="18"/>
  <c r="K65" i="18"/>
  <c r="S79" i="18"/>
  <c r="U65" i="18"/>
  <c r="V79" i="18"/>
  <c r="Z98" i="18"/>
  <c r="J80" i="18"/>
  <c r="W80" i="18"/>
  <c r="I64" i="18"/>
  <c r="M64" i="18"/>
  <c r="H80" i="18"/>
  <c r="Z97" i="18"/>
  <c r="N80" i="18"/>
  <c r="I80" i="18"/>
  <c r="O64" i="18"/>
  <c r="N64" i="18"/>
  <c r="L64" i="18"/>
  <c r="P64" i="18"/>
  <c r="G70" i="18"/>
  <c r="T64" i="18"/>
  <c r="Q80" i="18"/>
  <c r="J64" i="18"/>
  <c r="O80" i="18"/>
  <c r="F48" i="18"/>
  <c r="L80" i="18"/>
  <c r="V64" i="18"/>
  <c r="T80" i="18"/>
  <c r="S64" i="18"/>
  <c r="R64" i="18"/>
  <c r="U80" i="18"/>
  <c r="K80" i="18"/>
  <c r="K64" i="18"/>
  <c r="P80" i="18"/>
  <c r="Z96" i="18"/>
  <c r="R80" i="18"/>
  <c r="M80" i="18"/>
  <c r="X106" i="18"/>
  <c r="X64" i="18"/>
  <c r="H64" i="18"/>
  <c r="S80" i="18"/>
  <c r="W64" i="18"/>
  <c r="Q64" i="18"/>
  <c r="I25" i="9"/>
  <c r="AI25" i="9"/>
  <c r="E51" i="10"/>
  <c r="AH18" i="18"/>
  <c r="C41" i="6"/>
  <c r="BB6" i="1"/>
  <c r="R6" i="4" s="1"/>
  <c r="AZ6" i="1"/>
  <c r="T6" i="4"/>
  <c r="AR6" i="1"/>
  <c r="AY6" i="1"/>
  <c r="S6" i="4"/>
  <c r="BA6" i="1"/>
  <c r="U6" i="4"/>
  <c r="O171" i="1"/>
  <c r="P171" i="1"/>
  <c r="AY18" i="1"/>
  <c r="S18" i="4" s="1"/>
  <c r="AZ18" i="1"/>
  <c r="T18" i="4" s="1"/>
  <c r="BA18" i="1"/>
  <c r="U18" i="4"/>
  <c r="BC18" i="1"/>
  <c r="C53" i="6"/>
  <c r="BB18" i="1"/>
  <c r="R18" i="4" s="1"/>
  <c r="AY15" i="1"/>
  <c r="S15" i="4"/>
  <c r="AZ15" i="1"/>
  <c r="T15" i="4"/>
  <c r="BA15" i="1"/>
  <c r="U15" i="4" s="1"/>
  <c r="BB15" i="1"/>
  <c r="R15" i="4" s="1"/>
  <c r="BC15" i="1"/>
  <c r="C50" i="6"/>
  <c r="AR15" i="1"/>
  <c r="BH15" i="1"/>
  <c r="N50" i="6" s="1"/>
  <c r="H14" i="8"/>
  <c r="BB13" i="1"/>
  <c r="R13" i="4" s="1"/>
  <c r="BC13" i="1"/>
  <c r="C48" i="6"/>
  <c r="AY13" i="1"/>
  <c r="S13" i="4" s="1"/>
  <c r="AZ13" i="1"/>
  <c r="T13" i="4"/>
  <c r="BA13" i="1"/>
  <c r="U13" i="4"/>
  <c r="C47" i="6"/>
  <c r="AR12" i="1"/>
  <c r="AT12" i="1" s="1"/>
  <c r="AY12" i="1"/>
  <c r="S12" i="4"/>
  <c r="AZ12" i="1"/>
  <c r="T12" i="4" s="1"/>
  <c r="BA12" i="1"/>
  <c r="U12" i="4" s="1"/>
  <c r="BB12" i="1"/>
  <c r="R12" i="4" s="1"/>
  <c r="BC12" i="1"/>
  <c r="N178" i="1"/>
  <c r="P178" i="1"/>
  <c r="N177" i="1"/>
  <c r="O177" i="1"/>
  <c r="P177" i="1"/>
  <c r="C46" i="6"/>
  <c r="AY11" i="1"/>
  <c r="S11" i="4"/>
  <c r="AZ11" i="1"/>
  <c r="T11" i="4" s="1"/>
  <c r="BA11" i="1"/>
  <c r="U11" i="4" s="1"/>
  <c r="BB11" i="1"/>
  <c r="R11" i="4" s="1"/>
  <c r="BC11" i="1"/>
  <c r="F14" i="10"/>
  <c r="AY9" i="1"/>
  <c r="S9" i="4" s="1"/>
  <c r="AZ9" i="1"/>
  <c r="T9" i="4" s="1"/>
  <c r="BA9" i="1"/>
  <c r="U9" i="4" s="1"/>
  <c r="BB9" i="1"/>
  <c r="R9" i="4" s="1"/>
  <c r="C44" i="6"/>
  <c r="BC9" i="1"/>
  <c r="O169" i="1"/>
  <c r="P169" i="1"/>
  <c r="Q192" i="1"/>
  <c r="B17" i="7" s="1"/>
  <c r="G218" i="1"/>
  <c r="Q203" i="1"/>
  <c r="B28" i="7" s="1"/>
  <c r="U169" i="1"/>
  <c r="BB7" i="1"/>
  <c r="R7" i="4"/>
  <c r="X169" i="1"/>
  <c r="C45" i="6"/>
  <c r="E220" i="1"/>
  <c r="G216" i="1"/>
  <c r="G214" i="1"/>
  <c r="G196" i="1"/>
  <c r="G194" i="1"/>
  <c r="G192" i="1"/>
  <c r="G190" i="1"/>
  <c r="G188" i="1"/>
  <c r="G186" i="1"/>
  <c r="G184" i="1"/>
  <c r="G182" i="1"/>
  <c r="G180" i="1"/>
  <c r="F196" i="1"/>
  <c r="F180" i="1"/>
  <c r="AQ17" i="1"/>
  <c r="C52" i="6"/>
  <c r="AR10" i="1"/>
  <c r="BG10" i="1" s="1"/>
  <c r="M45" i="6" s="1"/>
  <c r="W169" i="1"/>
  <c r="AA19" i="18"/>
  <c r="Q33" i="18" s="1"/>
  <c r="Q196" i="1"/>
  <c r="B21" i="7"/>
  <c r="BC7" i="1"/>
  <c r="Q195" i="1"/>
  <c r="B20" i="7" s="1"/>
  <c r="DD17" i="1"/>
  <c r="Q180" i="1"/>
  <c r="B5" i="7"/>
  <c r="Q198" i="1"/>
  <c r="B23" i="7"/>
  <c r="Q189" i="1"/>
  <c r="B14" i="7" s="1"/>
  <c r="Q214" i="1"/>
  <c r="B39" i="7"/>
  <c r="Q194" i="1"/>
  <c r="B19" i="7" s="1"/>
  <c r="Z169" i="1"/>
  <c r="Y169" i="1"/>
  <c r="DB17" i="1"/>
  <c r="G223" i="1"/>
  <c r="Q188" i="1"/>
  <c r="B13" i="7" s="1"/>
  <c r="AR5" i="1"/>
  <c r="AT5" i="1" s="1"/>
  <c r="Q187" i="1"/>
  <c r="B12" i="7" s="1"/>
  <c r="Q199" i="1"/>
  <c r="B24" i="7"/>
  <c r="AE169" i="1"/>
  <c r="AZ5" i="1"/>
  <c r="T5" i="4"/>
  <c r="BA5" i="1"/>
  <c r="U5" i="4" s="1"/>
  <c r="Q223" i="1"/>
  <c r="B48" i="7" s="1"/>
  <c r="AR9" i="1"/>
  <c r="AT9" i="1" s="1"/>
  <c r="AY5" i="1"/>
  <c r="S5" i="4" s="1"/>
  <c r="Q201" i="1"/>
  <c r="B26" i="7"/>
  <c r="Q181" i="1"/>
  <c r="B6" i="7" s="1"/>
  <c r="Q208" i="1"/>
  <c r="B33" i="7"/>
  <c r="Q212" i="1"/>
  <c r="B37" i="7" s="1"/>
  <c r="AH159" i="1"/>
  <c r="BB5" i="1"/>
  <c r="R5" i="4"/>
  <c r="Q190" i="1"/>
  <c r="B15" i="7"/>
  <c r="Q186" i="1"/>
  <c r="B11" i="7"/>
  <c r="Q207" i="1"/>
  <c r="B32" i="7"/>
  <c r="B9" i="8"/>
  <c r="Q179" i="1"/>
  <c r="B4" i="7" s="1"/>
  <c r="Q191" i="1"/>
  <c r="B16" i="7"/>
  <c r="Q197" i="1"/>
  <c r="B22" i="7"/>
  <c r="AC169" i="1"/>
  <c r="AA169" i="1"/>
  <c r="P222" i="1"/>
  <c r="G217" i="1"/>
  <c r="G195" i="1"/>
  <c r="G193" i="1"/>
  <c r="G191" i="1"/>
  <c r="G189" i="1"/>
  <c r="G187" i="1"/>
  <c r="G185" i="1"/>
  <c r="G183" i="1"/>
  <c r="G181" i="1"/>
  <c r="Q205" i="1"/>
  <c r="B30" i="7"/>
  <c r="Q219" i="1"/>
  <c r="B44" i="7"/>
  <c r="Q184" i="1"/>
  <c r="B9" i="7" s="1"/>
  <c r="O222" i="1"/>
  <c r="G213" i="1"/>
  <c r="AR13" i="1"/>
  <c r="BC6" i="1"/>
  <c r="Q216" i="1"/>
  <c r="B41" i="7" s="1"/>
  <c r="Q211" i="1"/>
  <c r="B36" i="7" s="1"/>
  <c r="N222" i="1"/>
  <c r="P220" i="1"/>
  <c r="G211" i="1"/>
  <c r="G209" i="1"/>
  <c r="G207" i="1"/>
  <c r="G205" i="1"/>
  <c r="G203" i="1"/>
  <c r="G201" i="1"/>
  <c r="G199" i="1"/>
  <c r="Q224" i="1"/>
  <c r="B49" i="7"/>
  <c r="BC10" i="1"/>
  <c r="O220" i="1"/>
  <c r="Q204" i="1"/>
  <c r="B29" i="7" s="1"/>
  <c r="Q193" i="1"/>
  <c r="B18" i="7" s="1"/>
  <c r="P218" i="1"/>
  <c r="O174" i="1"/>
  <c r="Q200" i="1"/>
  <c r="B25" i="7" s="1"/>
  <c r="Q202" i="1"/>
  <c r="B27" i="7" s="1"/>
  <c r="BB10" i="1"/>
  <c r="R10" i="4" s="1"/>
  <c r="O218" i="1"/>
  <c r="P216" i="1"/>
  <c r="P214" i="1"/>
  <c r="Q222" i="1"/>
  <c r="B47" i="7"/>
  <c r="Q182" i="1"/>
  <c r="B7" i="7" s="1"/>
  <c r="BA10" i="1"/>
  <c r="U10" i="4" s="1"/>
  <c r="O216" i="1"/>
  <c r="O214" i="1"/>
  <c r="P194" i="1"/>
  <c r="P192" i="1"/>
  <c r="P190" i="1"/>
  <c r="P188" i="1"/>
  <c r="P186" i="1"/>
  <c r="P184" i="1"/>
  <c r="P182" i="1"/>
  <c r="Q221" i="1"/>
  <c r="B46" i="7" s="1"/>
  <c r="Q218" i="1"/>
  <c r="B43" i="7" s="1"/>
  <c r="AD169" i="1"/>
  <c r="AZ10" i="1"/>
  <c r="T10" i="4" s="1"/>
  <c r="P212" i="1"/>
  <c r="O194" i="1"/>
  <c r="O192" i="1"/>
  <c r="O190" i="1"/>
  <c r="O188" i="1"/>
  <c r="O186" i="1"/>
  <c r="O184" i="1"/>
  <c r="O182" i="1"/>
  <c r="AR18" i="1"/>
  <c r="BN18" i="1"/>
  <c r="Q183" i="1"/>
  <c r="B8" i="7"/>
  <c r="Q210" i="1"/>
  <c r="B35" i="7" s="1"/>
  <c r="G220" i="1"/>
  <c r="O212" i="1"/>
  <c r="P210" i="1"/>
  <c r="P208" i="1"/>
  <c r="P206" i="1"/>
  <c r="P204" i="1"/>
  <c r="P202" i="1"/>
  <c r="P200" i="1"/>
  <c r="P198" i="1"/>
  <c r="AR11" i="1"/>
  <c r="Q206" i="1"/>
  <c r="B31" i="7"/>
  <c r="BF47" i="1"/>
  <c r="BI47" i="1"/>
  <c r="I27" i="4" s="1"/>
  <c r="G70" i="5"/>
  <c r="H70" i="5" s="1"/>
  <c r="W78" i="5"/>
  <c r="U80" i="5"/>
  <c r="M79" i="5"/>
  <c r="M76" i="5"/>
  <c r="O67" i="5"/>
  <c r="U78" i="5"/>
  <c r="I58" i="5"/>
  <c r="M64" i="5"/>
  <c r="O66" i="5"/>
  <c r="K22" i="5"/>
  <c r="W80" i="5"/>
  <c r="L73" i="5"/>
  <c r="U71" i="5"/>
  <c r="K71" i="5"/>
  <c r="L72" i="5"/>
  <c r="M73" i="5"/>
  <c r="V73" i="5" s="1"/>
  <c r="L71" i="5"/>
  <c r="L121" i="5" s="1"/>
  <c r="M70" i="5"/>
  <c r="O74" i="5"/>
  <c r="N74" i="5"/>
  <c r="O70" i="5"/>
  <c r="O73" i="5"/>
  <c r="N73" i="5"/>
  <c r="L70" i="5"/>
  <c r="O72" i="5"/>
  <c r="M74" i="5"/>
  <c r="N72" i="5"/>
  <c r="M72" i="5"/>
  <c r="O71" i="5"/>
  <c r="N71" i="5"/>
  <c r="L74" i="5"/>
  <c r="N7" i="5"/>
  <c r="K77" i="5"/>
  <c r="U77" i="5"/>
  <c r="V77" i="5"/>
  <c r="W77" i="5"/>
  <c r="K78" i="5"/>
  <c r="G76" i="5"/>
  <c r="F76" i="5"/>
  <c r="E76" i="5"/>
  <c r="O167" i="1"/>
  <c r="P167" i="1"/>
  <c r="W71" i="5"/>
  <c r="N70" i="5"/>
  <c r="J70" i="5"/>
  <c r="V71" i="5"/>
  <c r="O166" i="1"/>
  <c r="P166" i="1"/>
  <c r="C22" i="6"/>
  <c r="G64" i="5"/>
  <c r="F64" i="5"/>
  <c r="J22" i="5"/>
  <c r="L22" i="5"/>
  <c r="N68" i="5"/>
  <c r="M67" i="5"/>
  <c r="M65" i="5"/>
  <c r="N67" i="5"/>
  <c r="M68" i="5"/>
  <c r="O65" i="5"/>
  <c r="N65" i="5"/>
  <c r="L68" i="5"/>
  <c r="N66" i="5"/>
  <c r="L67" i="5"/>
  <c r="L66" i="5"/>
  <c r="M66" i="5"/>
  <c r="W66" i="5"/>
  <c r="O64" i="5"/>
  <c r="L65" i="5"/>
  <c r="N64" i="5"/>
  <c r="L64" i="5"/>
  <c r="K64" i="5"/>
  <c r="W64" i="5"/>
  <c r="U64" i="5"/>
  <c r="V64" i="5"/>
  <c r="I70" i="5"/>
  <c r="D121" i="5"/>
  <c r="E64" i="5"/>
  <c r="N4" i="5"/>
  <c r="H58" i="5"/>
  <c r="AI9" i="18"/>
  <c r="AF171" i="1"/>
  <c r="AF21" i="18"/>
  <c r="S34" i="18" s="1"/>
  <c r="W58" i="5"/>
  <c r="U58" i="5"/>
  <c r="K58" i="5"/>
  <c r="V58" i="5"/>
  <c r="AI16" i="18"/>
  <c r="AH21" i="18"/>
  <c r="M62" i="5"/>
  <c r="M61" i="5"/>
  <c r="M60" i="5"/>
  <c r="M59" i="5"/>
  <c r="AI21" i="18"/>
  <c r="AE21" i="18"/>
  <c r="AF160" i="1"/>
  <c r="AF18" i="18"/>
  <c r="P34" i="18" s="1"/>
  <c r="P39" i="18" s="1"/>
  <c r="O165" i="1"/>
  <c r="P165" i="1"/>
  <c r="O58" i="5"/>
  <c r="AF20" i="18"/>
  <c r="R34" i="18" s="1"/>
  <c r="E21" i="6"/>
  <c r="AI18" i="18"/>
  <c r="AI20" i="18"/>
  <c r="AE20" i="18"/>
  <c r="AD22" i="18"/>
  <c r="AI22" i="18"/>
  <c r="V170" i="1"/>
  <c r="E47" i="10"/>
  <c r="AD10" i="18"/>
  <c r="AG21" i="18"/>
  <c r="S86" i="18" s="1"/>
  <c r="AE22" i="18"/>
  <c r="AI17" i="18"/>
  <c r="BL45" i="1"/>
  <c r="BN45" i="1" s="1"/>
  <c r="J25" i="4" s="1"/>
  <c r="H162" i="1"/>
  <c r="N162" i="1" s="1"/>
  <c r="AH165" i="1"/>
  <c r="AH24" i="18"/>
  <c r="AG16" i="18"/>
  <c r="N86" i="18"/>
  <c r="N100" i="18" s="1"/>
  <c r="AD18" i="18"/>
  <c r="AG172" i="1"/>
  <c r="I161" i="1"/>
  <c r="O161" i="1"/>
  <c r="AG171" i="1"/>
  <c r="BM45" i="1"/>
  <c r="BO45" i="1" s="1"/>
  <c r="K25" i="4" s="1"/>
  <c r="AE9" i="18"/>
  <c r="AF11" i="18"/>
  <c r="J34" i="18" s="1"/>
  <c r="J42" i="18" s="1"/>
  <c r="AD17" i="18"/>
  <c r="AH168" i="1"/>
  <c r="AG166" i="1"/>
  <c r="J159" i="1"/>
  <c r="P159" i="1" s="1"/>
  <c r="I159" i="1"/>
  <c r="O159" i="1"/>
  <c r="AG24" i="18"/>
  <c r="U86" i="18" s="1"/>
  <c r="BL46" i="1"/>
  <c r="BN46" i="1" s="1"/>
  <c r="J26" i="4" s="1"/>
  <c r="AG9" i="18"/>
  <c r="H86" i="18"/>
  <c r="H91" i="18" s="1"/>
  <c r="AH171" i="1"/>
  <c r="AE11" i="18"/>
  <c r="AF168" i="1"/>
  <c r="AE24" i="18"/>
  <c r="AF9" i="18"/>
  <c r="H34" i="18" s="1"/>
  <c r="H54" i="18" s="1"/>
  <c r="AD11" i="18"/>
  <c r="AD9" i="18"/>
  <c r="BG44" i="1"/>
  <c r="BJ44" i="1"/>
  <c r="L24" i="4" s="1"/>
  <c r="AI11" i="18"/>
  <c r="AD21" i="18"/>
  <c r="V96" i="18"/>
  <c r="AH166" i="1"/>
  <c r="AF165" i="1"/>
  <c r="AA15" i="18"/>
  <c r="M33" i="18" s="1"/>
  <c r="AH172" i="1"/>
  <c r="AH22" i="18"/>
  <c r="AE15" i="18"/>
  <c r="AA26" i="18"/>
  <c r="W33" i="18"/>
  <c r="AH176" i="1"/>
  <c r="J162" i="1"/>
  <c r="P162" i="1"/>
  <c r="AD15" i="18"/>
  <c r="AF166" i="1"/>
  <c r="AF16" i="18"/>
  <c r="N34" i="18" s="1"/>
  <c r="N42" i="18" s="1"/>
  <c r="F163" i="1"/>
  <c r="BL43" i="1"/>
  <c r="BN43" i="1" s="1"/>
  <c r="J23" i="4" s="1"/>
  <c r="BK47" i="1"/>
  <c r="M27" i="4"/>
  <c r="BG47" i="1"/>
  <c r="BJ47" i="1"/>
  <c r="V41" i="18"/>
  <c r="BF44" i="1"/>
  <c r="BI44" i="1"/>
  <c r="I24" i="4" s="1"/>
  <c r="I162" i="1"/>
  <c r="O162" i="1" s="1"/>
  <c r="V165" i="1"/>
  <c r="AF170" i="1"/>
  <c r="AF176" i="1"/>
  <c r="AA9" i="18"/>
  <c r="H33" i="18" s="1"/>
  <c r="AF159" i="1"/>
  <c r="AG159" i="1"/>
  <c r="X44" i="18"/>
  <c r="X57" i="18"/>
  <c r="X42" i="18"/>
  <c r="X51" i="18"/>
  <c r="X58" i="18"/>
  <c r="AG174" i="1"/>
  <c r="AA24" i="18"/>
  <c r="U33" i="18" s="1"/>
  <c r="AH160" i="1"/>
  <c r="BL47" i="1"/>
  <c r="BN47" i="1"/>
  <c r="J27" i="4" s="1"/>
  <c r="J17" i="6"/>
  <c r="AH174" i="1"/>
  <c r="AH10" i="18"/>
  <c r="V104" i="18"/>
  <c r="V95" i="18"/>
  <c r="V106" i="18"/>
  <c r="V102" i="18"/>
  <c r="V89" i="18"/>
  <c r="G163" i="1"/>
  <c r="AA10" i="18"/>
  <c r="I33" i="18" s="1"/>
  <c r="AF172" i="1"/>
  <c r="AF22" i="18"/>
  <c r="T34" i="18" s="1"/>
  <c r="AG177" i="1"/>
  <c r="AF177" i="1"/>
  <c r="X104" i="18"/>
  <c r="X92" i="18"/>
  <c r="X96" i="18"/>
  <c r="X105" i="18"/>
  <c r="X89" i="18"/>
  <c r="AG11" i="18"/>
  <c r="J86" i="18" s="1"/>
  <c r="X94" i="18"/>
  <c r="H160" i="1"/>
  <c r="N160" i="1" s="1"/>
  <c r="F159" i="1"/>
  <c r="BM43" i="1"/>
  <c r="BO43" i="1"/>
  <c r="AG160" i="1"/>
  <c r="W51" i="18"/>
  <c r="AF167" i="1"/>
  <c r="AG167" i="1"/>
  <c r="V42" i="18"/>
  <c r="V56" i="18"/>
  <c r="V51" i="18"/>
  <c r="V44" i="18"/>
  <c r="V50" i="18"/>
  <c r="R8" i="4"/>
  <c r="AE18" i="18"/>
  <c r="V168" i="1"/>
  <c r="AG17" i="18"/>
  <c r="O86" i="18"/>
  <c r="O87" i="18" s="1"/>
  <c r="AE17" i="18"/>
  <c r="AF17" i="18"/>
  <c r="O34" i="18" s="1"/>
  <c r="O39" i="18" s="1"/>
  <c r="BF45" i="1"/>
  <c r="BI45" i="1" s="1"/>
  <c r="AR8" i="1"/>
  <c r="AZ8" i="1"/>
  <c r="AY8" i="1"/>
  <c r="BA8" i="1"/>
  <c r="AH11" i="18"/>
  <c r="AI15" i="18"/>
  <c r="AH15" i="18"/>
  <c r="AH20" i="18"/>
  <c r="AH170" i="1"/>
  <c r="AG22" i="18"/>
  <c r="T86" i="18"/>
  <c r="T87" i="18" s="1"/>
  <c r="AV117" i="11"/>
  <c r="P117" i="11"/>
  <c r="AT114" i="11"/>
  <c r="G114" i="11"/>
  <c r="AX110" i="11"/>
  <c r="Z110" i="11"/>
  <c r="K105" i="11"/>
  <c r="AU105" i="11"/>
  <c r="AV104" i="11"/>
  <c r="P104" i="11"/>
  <c r="AU98" i="11"/>
  <c r="K98" i="11"/>
  <c r="U90" i="11"/>
  <c r="AW90" i="11"/>
  <c r="AU67" i="11"/>
  <c r="AY67" i="11"/>
  <c r="AE67" i="11" s="1"/>
  <c r="K67" i="11"/>
  <c r="AT63" i="11"/>
  <c r="G63" i="11"/>
  <c r="Z101" i="11"/>
  <c r="AT117" i="11"/>
  <c r="G117" i="11"/>
  <c r="AV111" i="11"/>
  <c r="P111" i="11"/>
  <c r="AY74" i="11"/>
  <c r="AE74" i="11" s="1"/>
  <c r="AV58" i="11"/>
  <c r="P58" i="11"/>
  <c r="U102" i="11"/>
  <c r="AW95" i="11"/>
  <c r="AY95" i="11"/>
  <c r="AE95" i="11" s="1"/>
  <c r="AW89" i="11"/>
  <c r="U89" i="11"/>
  <c r="Z109" i="11"/>
  <c r="AX81" i="11"/>
  <c r="AY81" i="11" s="1"/>
  <c r="AE81" i="11" s="1"/>
  <c r="AT47" i="11"/>
  <c r="G47" i="11"/>
  <c r="Z106" i="11"/>
  <c r="AX106" i="11"/>
  <c r="AT104" i="11"/>
  <c r="G104" i="11"/>
  <c r="P101" i="11"/>
  <c r="AV101" i="11"/>
  <c r="AY101" i="11" s="1"/>
  <c r="AE101" i="11" s="1"/>
  <c r="U99" i="11"/>
  <c r="AW99" i="11"/>
  <c r="AU96" i="11"/>
  <c r="AY96" i="11"/>
  <c r="AE96" i="11" s="1"/>
  <c r="K96" i="11"/>
  <c r="K90" i="11"/>
  <c r="AU90" i="11"/>
  <c r="G33" i="11"/>
  <c r="AT33" i="11"/>
  <c r="AY33" i="11"/>
  <c r="AE33" i="11" s="1"/>
  <c r="P113" i="11"/>
  <c r="AV109" i="11"/>
  <c r="P109" i="11"/>
  <c r="AU83" i="11"/>
  <c r="K83" i="11"/>
  <c r="AV79" i="11"/>
  <c r="P79" i="11"/>
  <c r="AV38" i="11"/>
  <c r="AY38" i="11" s="1"/>
  <c r="AE38" i="11" s="1"/>
  <c r="P38" i="11"/>
  <c r="AV36" i="11"/>
  <c r="AY36" i="11" s="1"/>
  <c r="AE36" i="11"/>
  <c r="P36" i="11"/>
  <c r="AX112" i="11"/>
  <c r="Z112" i="11"/>
  <c r="AU80" i="11"/>
  <c r="K80" i="11"/>
  <c r="Z9" i="11"/>
  <c r="AX9" i="11"/>
  <c r="AY9" i="11"/>
  <c r="AE9" i="11" s="1"/>
  <c r="AW118" i="11"/>
  <c r="U118" i="11"/>
  <c r="AW105" i="11"/>
  <c r="U105" i="11"/>
  <c r="AW97" i="11"/>
  <c r="U97" i="11"/>
  <c r="AU94" i="11"/>
  <c r="K94" i="11"/>
  <c r="P76" i="11"/>
  <c r="AV76" i="11"/>
  <c r="AW44" i="11"/>
  <c r="U44" i="11"/>
  <c r="AU42" i="11"/>
  <c r="AY42" i="11" s="1"/>
  <c r="AE42" i="11" s="1"/>
  <c r="K42" i="11"/>
  <c r="K117" i="11"/>
  <c r="Z114" i="11"/>
  <c r="AU86" i="11"/>
  <c r="AY86" i="11" s="1"/>
  <c r="AE86" i="11" s="1"/>
  <c r="AT79" i="11"/>
  <c r="AY79" i="11" s="1"/>
  <c r="AE79" i="11" s="1"/>
  <c r="AW77" i="11"/>
  <c r="AX73" i="11"/>
  <c r="AY73" i="11" s="1"/>
  <c r="AE73" i="11" s="1"/>
  <c r="Z49" i="11"/>
  <c r="AX49" i="11"/>
  <c r="AU110" i="11"/>
  <c r="AX30" i="11"/>
  <c r="AY30" i="11"/>
  <c r="AE30" i="11" s="1"/>
  <c r="AI30" i="11" s="1"/>
  <c r="AJ30" i="11" s="1"/>
  <c r="AK30" i="11" s="1"/>
  <c r="AL30" i="11" s="1"/>
  <c r="Z30" i="11"/>
  <c r="AT57" i="11"/>
  <c r="Z78" i="11"/>
  <c r="K107" i="11"/>
  <c r="P103" i="11"/>
  <c r="P93" i="11"/>
  <c r="P62" i="11"/>
  <c r="G90" i="11"/>
  <c r="K113" i="11"/>
  <c r="P97" i="11"/>
  <c r="Z98" i="11"/>
  <c r="Z96" i="11"/>
  <c r="Z94" i="11"/>
  <c r="Z92" i="11"/>
  <c r="G43" i="11"/>
  <c r="BL10" i="11"/>
  <c r="BL12" i="11"/>
  <c r="BH14" i="11"/>
  <c r="BN15" i="11"/>
  <c r="BH16" i="11"/>
  <c r="BN17" i="11"/>
  <c r="BO17" i="11" s="1"/>
  <c r="BH18" i="11"/>
  <c r="BN19" i="11"/>
  <c r="BH20" i="11"/>
  <c r="BN21" i="11"/>
  <c r="BH22" i="11"/>
  <c r="BN23" i="11"/>
  <c r="BH24" i="11"/>
  <c r="BN25" i="11"/>
  <c r="BH26" i="11"/>
  <c r="BN27" i="11"/>
  <c r="BH28" i="11"/>
  <c r="BM29" i="11"/>
  <c r="BL31" i="11"/>
  <c r="BN32" i="11"/>
  <c r="BH33" i="11"/>
  <c r="BN34" i="11"/>
  <c r="BH35" i="11"/>
  <c r="BN36" i="11"/>
  <c r="BO36" i="11" s="1"/>
  <c r="AG36" i="11" s="1"/>
  <c r="BH37" i="11"/>
  <c r="BN38" i="11"/>
  <c r="BH39" i="11"/>
  <c r="BN40" i="11"/>
  <c r="BH41" i="11"/>
  <c r="BL42" i="11"/>
  <c r="BL44" i="11"/>
  <c r="BL46" i="11"/>
  <c r="BL48" i="11"/>
  <c r="BI50" i="11"/>
  <c r="BJ50" i="11" s="1"/>
  <c r="AF50" i="11" s="1"/>
  <c r="BI52" i="11"/>
  <c r="BG9" i="11"/>
  <c r="BM10" i="11"/>
  <c r="BG11" i="11"/>
  <c r="BJ11" i="11" s="1"/>
  <c r="AF11" i="11" s="1"/>
  <c r="BM12" i="11"/>
  <c r="BG13" i="11"/>
  <c r="BI14" i="11"/>
  <c r="BI16" i="11"/>
  <c r="BI18" i="11"/>
  <c r="BI20" i="11"/>
  <c r="BI22" i="11"/>
  <c r="BI24" i="11"/>
  <c r="BI26" i="11"/>
  <c r="BI28" i="11"/>
  <c r="BN29" i="11"/>
  <c r="BG30" i="11"/>
  <c r="BM31" i="11"/>
  <c r="BI33" i="11"/>
  <c r="BI35" i="11"/>
  <c r="BI37" i="11"/>
  <c r="BI39" i="11"/>
  <c r="BI41" i="11"/>
  <c r="BJ41" i="11" s="1"/>
  <c r="AF41" i="11" s="1"/>
  <c r="BH9" i="11"/>
  <c r="BN10" i="11"/>
  <c r="BH11" i="11"/>
  <c r="BN12" i="11"/>
  <c r="BH13" i="11"/>
  <c r="BL14" i="11"/>
  <c r="BL16" i="11"/>
  <c r="BL18" i="11"/>
  <c r="BO18" i="11" s="1"/>
  <c r="AG18" i="11" s="1"/>
  <c r="AD18" i="11" s="1"/>
  <c r="AB18" i="11" s="1"/>
  <c r="BL20" i="11"/>
  <c r="BL22" i="11"/>
  <c r="BO22" i="11" s="1"/>
  <c r="AG22" i="11" s="1"/>
  <c r="BL24" i="11"/>
  <c r="BL26" i="11"/>
  <c r="BL28" i="11"/>
  <c r="BH30" i="11"/>
  <c r="BJ30" i="11" s="1"/>
  <c r="AF30" i="11" s="1"/>
  <c r="BN31" i="11"/>
  <c r="BL33" i="11"/>
  <c r="BO33" i="11" s="1"/>
  <c r="AG33" i="11" s="1"/>
  <c r="BL35" i="11"/>
  <c r="BM35" i="11"/>
  <c r="BO35" i="11"/>
  <c r="AG35" i="11" s="1"/>
  <c r="BL37" i="11"/>
  <c r="BL39" i="11"/>
  <c r="BL41" i="11"/>
  <c r="BN42" i="11"/>
  <c r="BH43" i="11"/>
  <c r="BJ43" i="11" s="1"/>
  <c r="AF43" i="11" s="1"/>
  <c r="BN44" i="11"/>
  <c r="BH45" i="11"/>
  <c r="BN46" i="11"/>
  <c r="BH47" i="11"/>
  <c r="BN48" i="11"/>
  <c r="BG49" i="11"/>
  <c r="BM50" i="11"/>
  <c r="BO50" i="11" s="1"/>
  <c r="AG50" i="11" s="1"/>
  <c r="BG51" i="11"/>
  <c r="BM52" i="11"/>
  <c r="BI9" i="11"/>
  <c r="BI11" i="11"/>
  <c r="BI13" i="11"/>
  <c r="BM14" i="11"/>
  <c r="BG15" i="11"/>
  <c r="BM16" i="11"/>
  <c r="BG17" i="11"/>
  <c r="BM18" i="11"/>
  <c r="BG19" i="11"/>
  <c r="BM20" i="11"/>
  <c r="BG21" i="11"/>
  <c r="BJ21" i="11"/>
  <c r="AF21" i="11" s="1"/>
  <c r="BM22" i="11"/>
  <c r="BG23" i="11"/>
  <c r="BM24" i="11"/>
  <c r="BG25" i="11"/>
  <c r="BM26" i="11"/>
  <c r="BG27" i="11"/>
  <c r="BJ27" i="11" s="1"/>
  <c r="AF27" i="11" s="1"/>
  <c r="BM28" i="11"/>
  <c r="BI30" i="11"/>
  <c r="BG32" i="11"/>
  <c r="BM33" i="11"/>
  <c r="BG34" i="11"/>
  <c r="BG36" i="11"/>
  <c r="BM37" i="11"/>
  <c r="BO37" i="11" s="1"/>
  <c r="AG37" i="11" s="1"/>
  <c r="BG38" i="11"/>
  <c r="BI10" i="11"/>
  <c r="BJ10" i="11" s="1"/>
  <c r="AF10" i="11" s="1"/>
  <c r="BI12" i="11"/>
  <c r="BG14" i="11"/>
  <c r="BM15" i="11"/>
  <c r="BG16" i="11"/>
  <c r="BM17" i="11"/>
  <c r="BG18" i="11"/>
  <c r="BM19" i="11"/>
  <c r="BG20" i="11"/>
  <c r="BM21" i="11"/>
  <c r="BO21" i="11" s="1"/>
  <c r="AG21" i="11" s="1"/>
  <c r="BG22" i="11"/>
  <c r="BJ22" i="11" s="1"/>
  <c r="AF22" i="11" s="1"/>
  <c r="BM23" i="11"/>
  <c r="BG24" i="11"/>
  <c r="BM25" i="11"/>
  <c r="BG26" i="11"/>
  <c r="BJ26" i="11" s="1"/>
  <c r="BM27" i="11"/>
  <c r="BG28" i="11"/>
  <c r="BL29" i="11"/>
  <c r="BI31" i="11"/>
  <c r="BM32" i="11"/>
  <c r="BG33" i="11"/>
  <c r="BM34" i="11"/>
  <c r="BG35" i="11"/>
  <c r="BM36" i="11"/>
  <c r="BG37" i="11"/>
  <c r="BG58" i="11"/>
  <c r="BM57" i="11"/>
  <c r="BG56" i="11"/>
  <c r="BM55" i="11"/>
  <c r="BG54" i="11"/>
  <c r="BJ54" i="11"/>
  <c r="AF54" i="11" s="1"/>
  <c r="BN53" i="11"/>
  <c r="BL51" i="11"/>
  <c r="BO51" i="11" s="1"/>
  <c r="AG51" i="11" s="1"/>
  <c r="BG47" i="11"/>
  <c r="BG45" i="11"/>
  <c r="BG43" i="11"/>
  <c r="BH36" i="11"/>
  <c r="BI29" i="11"/>
  <c r="BJ29" i="11" s="1"/>
  <c r="AF29" i="11" s="1"/>
  <c r="BH25" i="11"/>
  <c r="BI19" i="11"/>
  <c r="BN16" i="11"/>
  <c r="BH12" i="11"/>
  <c r="BL11" i="11"/>
  <c r="C4" i="13"/>
  <c r="G9" i="11"/>
  <c r="F53" i="18"/>
  <c r="G76" i="18"/>
  <c r="V61" i="18"/>
  <c r="L61" i="18"/>
  <c r="S61" i="18"/>
  <c r="Q61" i="18"/>
  <c r="W61" i="18"/>
  <c r="U61" i="18"/>
  <c r="R61" i="18"/>
  <c r="H61" i="18"/>
  <c r="H82" i="18" s="1"/>
  <c r="AB9" i="18" s="1"/>
  <c r="AI159" i="1" s="1"/>
  <c r="X61" i="18"/>
  <c r="I61" i="18"/>
  <c r="I82" i="18" s="1"/>
  <c r="N61" i="18"/>
  <c r="P61" i="18"/>
  <c r="M61" i="18"/>
  <c r="K61" i="18"/>
  <c r="X87" i="18"/>
  <c r="O61" i="18"/>
  <c r="J61" i="18"/>
  <c r="I5" i="9"/>
  <c r="AI5" i="9" s="1"/>
  <c r="E15" i="18"/>
  <c r="E37" i="10"/>
  <c r="BO116" i="11"/>
  <c r="AG116" i="11" s="1"/>
  <c r="BJ64" i="11"/>
  <c r="AF64" i="11"/>
  <c r="AY84" i="11"/>
  <c r="AE84" i="11"/>
  <c r="BO87" i="11"/>
  <c r="AG87" i="11"/>
  <c r="BA17" i="1"/>
  <c r="U17" i="4" s="1"/>
  <c r="V163" i="1"/>
  <c r="AE13" i="18"/>
  <c r="J18" i="4"/>
  <c r="AY100" i="11"/>
  <c r="AE100" i="11"/>
  <c r="AG17" i="11"/>
  <c r="BJ108" i="11"/>
  <c r="AF108" i="11" s="1"/>
  <c r="BJ49" i="11"/>
  <c r="AF49" i="11" s="1"/>
  <c r="BO82" i="11"/>
  <c r="AG82" i="11" s="1"/>
  <c r="AY71" i="11"/>
  <c r="AE71" i="11"/>
  <c r="BO115" i="11"/>
  <c r="AG115" i="11" s="1"/>
  <c r="BJ86" i="11"/>
  <c r="AF86" i="11"/>
  <c r="BJ111" i="11"/>
  <c r="AF111" i="11" s="1"/>
  <c r="BJ59" i="11"/>
  <c r="AF59" i="11" s="1"/>
  <c r="BJ38" i="11"/>
  <c r="AF38" i="11" s="1"/>
  <c r="AI38" i="11" s="1"/>
  <c r="BJ55" i="11"/>
  <c r="AF55" i="11" s="1"/>
  <c r="BO79" i="11"/>
  <c r="AG79" i="11"/>
  <c r="BJ103" i="11"/>
  <c r="AF103" i="11" s="1"/>
  <c r="BO103" i="11"/>
  <c r="AG103" i="11"/>
  <c r="BJ101" i="11"/>
  <c r="AF101" i="11" s="1"/>
  <c r="BO105" i="11"/>
  <c r="AG105" i="11" s="1"/>
  <c r="BJ67" i="11"/>
  <c r="AF67" i="11"/>
  <c r="BJ81" i="11"/>
  <c r="AF81" i="11" s="1"/>
  <c r="BO47" i="11"/>
  <c r="AG47" i="11"/>
  <c r="BJ32" i="11"/>
  <c r="AF32" i="11"/>
  <c r="BJ74" i="11"/>
  <c r="AF74" i="11" s="1"/>
  <c r="BO99" i="11"/>
  <c r="AG99" i="11" s="1"/>
  <c r="BJ62" i="11"/>
  <c r="AF62" i="11" s="1"/>
  <c r="AY76" i="11"/>
  <c r="AE76" i="11" s="1"/>
  <c r="BJ71" i="11"/>
  <c r="AF71" i="11" s="1"/>
  <c r="BJ68" i="11"/>
  <c r="AF68" i="11" s="1"/>
  <c r="AI68" i="11"/>
  <c r="AJ68" i="11" s="1"/>
  <c r="AK68" i="11" s="1"/>
  <c r="AL68" i="11" s="1"/>
  <c r="AY98" i="11"/>
  <c r="AE98" i="11" s="1"/>
  <c r="BO40" i="11"/>
  <c r="AG40" i="11" s="1"/>
  <c r="BO93" i="11"/>
  <c r="AG93" i="11"/>
  <c r="BJ15" i="11"/>
  <c r="AF15" i="11"/>
  <c r="AI15" i="11" s="1"/>
  <c r="AJ15" i="11" s="1"/>
  <c r="AK15" i="11" s="1"/>
  <c r="AL15" i="11" s="1"/>
  <c r="AY58" i="11"/>
  <c r="AE58" i="11"/>
  <c r="BJ94" i="11"/>
  <c r="AF94" i="11" s="1"/>
  <c r="BJ42" i="11"/>
  <c r="AF42" i="11" s="1"/>
  <c r="BJ53" i="11"/>
  <c r="AF53" i="11"/>
  <c r="BO89" i="11"/>
  <c r="AG89" i="11" s="1"/>
  <c r="BJ90" i="11"/>
  <c r="AF90" i="11"/>
  <c r="BJ92" i="11"/>
  <c r="AF92" i="11" s="1"/>
  <c r="BJ93" i="11"/>
  <c r="AF93" i="11" s="1"/>
  <c r="BJ118" i="11"/>
  <c r="AF118" i="11" s="1"/>
  <c r="BO95" i="11"/>
  <c r="AG95" i="11"/>
  <c r="AY80" i="11"/>
  <c r="AE80" i="11" s="1"/>
  <c r="BJ82" i="11"/>
  <c r="AF82" i="11"/>
  <c r="BO100" i="11"/>
  <c r="AG100" i="11" s="1"/>
  <c r="BJ34" i="11"/>
  <c r="AF34" i="11"/>
  <c r="BO34" i="11"/>
  <c r="AG34" i="11" s="1"/>
  <c r="BO52" i="11"/>
  <c r="AG52" i="11"/>
  <c r="BO54" i="11"/>
  <c r="AG54" i="11" s="1"/>
  <c r="BJ83" i="11"/>
  <c r="AF83" i="11"/>
  <c r="BJ72" i="11"/>
  <c r="AF72" i="11" s="1"/>
  <c r="BO112" i="11"/>
  <c r="AG112" i="11"/>
  <c r="BJ78" i="11"/>
  <c r="AF78" i="11" s="1"/>
  <c r="AY106" i="11"/>
  <c r="AE106" i="11"/>
  <c r="BO85" i="11"/>
  <c r="AG85" i="11" s="1"/>
  <c r="BO59" i="11"/>
  <c r="AG59" i="11" s="1"/>
  <c r="AD59" i="11" s="1"/>
  <c r="AB59" i="11" s="1"/>
  <c r="BJ98" i="11"/>
  <c r="AF98" i="11" s="1"/>
  <c r="BJ97" i="11"/>
  <c r="AF97" i="11"/>
  <c r="AY26" i="11"/>
  <c r="AE26" i="11"/>
  <c r="BJ99" i="11"/>
  <c r="AF99" i="11" s="1"/>
  <c r="BJ73" i="11"/>
  <c r="AF73" i="11" s="1"/>
  <c r="BO48" i="11"/>
  <c r="AG48" i="11" s="1"/>
  <c r="BJ70" i="11"/>
  <c r="AF70" i="11"/>
  <c r="BJ106" i="11"/>
  <c r="AF106" i="11"/>
  <c r="BO55" i="11"/>
  <c r="AG55" i="11" s="1"/>
  <c r="BJ18" i="11"/>
  <c r="AF18" i="11"/>
  <c r="BO41" i="11"/>
  <c r="AG41" i="11" s="1"/>
  <c r="BO110" i="11"/>
  <c r="AG110" i="11" s="1"/>
  <c r="BO39" i="11"/>
  <c r="AG39" i="11" s="1"/>
  <c r="BO80" i="11"/>
  <c r="AG80" i="11"/>
  <c r="AY116" i="11"/>
  <c r="AE116" i="11"/>
  <c r="BO66" i="11"/>
  <c r="AG66" i="11" s="1"/>
  <c r="BJ17" i="11"/>
  <c r="AF17" i="11"/>
  <c r="AD17" i="11" s="1"/>
  <c r="AB17" i="11" s="1"/>
  <c r="BO102" i="11"/>
  <c r="AG102" i="11" s="1"/>
  <c r="BO70" i="11"/>
  <c r="AG70" i="11"/>
  <c r="BJ61" i="11"/>
  <c r="AF61" i="11" s="1"/>
  <c r="BO108" i="11"/>
  <c r="AG108" i="11"/>
  <c r="BJ75" i="11"/>
  <c r="AF75" i="11"/>
  <c r="AY64" i="11"/>
  <c r="AE64" i="11" s="1"/>
  <c r="BJ60" i="11"/>
  <c r="AF60" i="11" s="1"/>
  <c r="BO84" i="11"/>
  <c r="AG84" i="11" s="1"/>
  <c r="BO65" i="11"/>
  <c r="AG65" i="11"/>
  <c r="BO15" i="11"/>
  <c r="AG15" i="11" s="1"/>
  <c r="BO88" i="11"/>
  <c r="AG88" i="11"/>
  <c r="BJ116" i="11"/>
  <c r="AF116" i="11"/>
  <c r="BO98" i="11"/>
  <c r="AG98" i="11" s="1"/>
  <c r="BO83" i="11"/>
  <c r="AG83" i="11" s="1"/>
  <c r="BO107" i="11"/>
  <c r="AG107" i="11" s="1"/>
  <c r="AI107" i="11" s="1"/>
  <c r="AJ107" i="11" s="1"/>
  <c r="AK107" i="11" s="1"/>
  <c r="AL107" i="11" s="1"/>
  <c r="BJ51" i="11"/>
  <c r="AF51" i="11"/>
  <c r="BO30" i="11"/>
  <c r="AG30" i="11" s="1"/>
  <c r="BJ95" i="11"/>
  <c r="AF95" i="11"/>
  <c r="BJ109" i="11"/>
  <c r="AF109" i="11" s="1"/>
  <c r="AD109" i="11" s="1"/>
  <c r="AB109" i="11" s="1"/>
  <c r="BJ100" i="11"/>
  <c r="AF100" i="11"/>
  <c r="AD100" i="11" s="1"/>
  <c r="AB100" i="11" s="1"/>
  <c r="BJ114" i="11"/>
  <c r="AF114" i="11" s="1"/>
  <c r="BO78" i="11"/>
  <c r="AG78" i="11" s="1"/>
  <c r="BO27" i="11"/>
  <c r="AG27" i="11" s="1"/>
  <c r="AY117" i="11"/>
  <c r="AE117" i="11"/>
  <c r="BJ66" i="11"/>
  <c r="AF66" i="11" s="1"/>
  <c r="BO75" i="11"/>
  <c r="AG75" i="11"/>
  <c r="BJ44" i="11"/>
  <c r="AF44" i="11" s="1"/>
  <c r="BJ91" i="11"/>
  <c r="AF91" i="11" s="1"/>
  <c r="AD91" i="11" s="1"/>
  <c r="AB91" i="11" s="1"/>
  <c r="BO61" i="11"/>
  <c r="AG61" i="11" s="1"/>
  <c r="BO113" i="11"/>
  <c r="AG113" i="11" s="1"/>
  <c r="AD113" i="11" s="1"/>
  <c r="AB113" i="11" s="1"/>
  <c r="BO58" i="11"/>
  <c r="AG58" i="11"/>
  <c r="BO71" i="11"/>
  <c r="AG71" i="11" s="1"/>
  <c r="AY111" i="11"/>
  <c r="AE111" i="11"/>
  <c r="BJ76" i="11"/>
  <c r="AF76" i="11" s="1"/>
  <c r="BO104" i="11"/>
  <c r="AG104" i="11" s="1"/>
  <c r="BJ89" i="11"/>
  <c r="AF89" i="11" s="1"/>
  <c r="BJ77" i="11"/>
  <c r="AF77" i="11"/>
  <c r="BO101" i="11"/>
  <c r="AG101" i="11" s="1"/>
  <c r="BJ107" i="11"/>
  <c r="AF107" i="11"/>
  <c r="BJ85" i="11"/>
  <c r="AF85" i="11" s="1"/>
  <c r="BJ47" i="11"/>
  <c r="AF47" i="11"/>
  <c r="AD47" i="11" s="1"/>
  <c r="AB47" i="11" s="1"/>
  <c r="BO77" i="11"/>
  <c r="AG77" i="11" s="1"/>
  <c r="BJ96" i="11"/>
  <c r="AF96" i="11" s="1"/>
  <c r="AI96" i="11" s="1"/>
  <c r="AJ96" i="11" s="1"/>
  <c r="AK96" i="11" s="1"/>
  <c r="AL96" i="11" s="1"/>
  <c r="BO60" i="11"/>
  <c r="AG60" i="11" s="1"/>
  <c r="BO91" i="11"/>
  <c r="AG91" i="11" s="1"/>
  <c r="BJ52" i="11"/>
  <c r="AF52" i="11"/>
  <c r="AY44" i="11"/>
  <c r="AE44" i="11" s="1"/>
  <c r="BJ46" i="11"/>
  <c r="AF46" i="11"/>
  <c r="BJ80" i="11"/>
  <c r="AF80" i="11" s="1"/>
  <c r="BO97" i="11"/>
  <c r="AG97" i="11" s="1"/>
  <c r="BO53" i="11"/>
  <c r="AG53" i="11" s="1"/>
  <c r="BJ102" i="11"/>
  <c r="AF102" i="11"/>
  <c r="BJ40" i="11"/>
  <c r="AF40" i="11" s="1"/>
  <c r="BO57" i="11"/>
  <c r="AG57" i="11" s="1"/>
  <c r="AI57" i="11" s="1"/>
  <c r="AJ57" i="11" s="1"/>
  <c r="AK57" i="11" s="1"/>
  <c r="AL57" i="11" s="1"/>
  <c r="BJ16" i="11"/>
  <c r="AF16" i="11" s="1"/>
  <c r="BO13" i="11"/>
  <c r="AG13" i="11"/>
  <c r="BO118" i="11"/>
  <c r="AG118" i="11" s="1"/>
  <c r="BO117" i="11"/>
  <c r="AG117" i="11"/>
  <c r="BO114" i="11"/>
  <c r="AG114" i="11" s="1"/>
  <c r="BJ58" i="11"/>
  <c r="AF58" i="11"/>
  <c r="BJ87" i="11"/>
  <c r="AF87" i="11" s="1"/>
  <c r="BJ69" i="11"/>
  <c r="AF69" i="11" s="1"/>
  <c r="BJ113" i="11"/>
  <c r="AF113" i="11"/>
  <c r="BO74" i="11"/>
  <c r="AG74" i="11" s="1"/>
  <c r="AI74" i="11" s="1"/>
  <c r="AY16" i="11"/>
  <c r="AE16" i="11"/>
  <c r="BO69" i="11"/>
  <c r="AG69" i="11" s="1"/>
  <c r="BO96" i="11"/>
  <c r="AG96" i="11" s="1"/>
  <c r="BO92" i="11"/>
  <c r="AG92" i="11" s="1"/>
  <c r="BO56" i="11"/>
  <c r="AG56" i="11"/>
  <c r="BO45" i="11"/>
  <c r="AG45" i="11" s="1"/>
  <c r="BO11" i="11"/>
  <c r="AG11" i="11"/>
  <c r="BO32" i="11"/>
  <c r="AG32" i="11" s="1"/>
  <c r="BJ65" i="11"/>
  <c r="AF65" i="11" s="1"/>
  <c r="BJ79" i="11"/>
  <c r="AF79" i="11" s="1"/>
  <c r="BO63" i="11"/>
  <c r="AG63" i="11"/>
  <c r="BO106" i="11"/>
  <c r="AG106" i="11" s="1"/>
  <c r="AI106" i="11" s="1"/>
  <c r="AJ106" i="11" s="1"/>
  <c r="BJ31" i="11"/>
  <c r="AF31" i="11"/>
  <c r="BO49" i="11"/>
  <c r="AG49" i="11" s="1"/>
  <c r="BJ105" i="11"/>
  <c r="AF105" i="11" s="1"/>
  <c r="BJ57" i="11"/>
  <c r="AF57" i="11" s="1"/>
  <c r="BO64" i="11"/>
  <c r="AG64" i="11" s="1"/>
  <c r="AY63" i="11"/>
  <c r="AE63" i="11"/>
  <c r="AI63" i="11" s="1"/>
  <c r="AJ63" i="11" s="1"/>
  <c r="AK63" i="11" s="1"/>
  <c r="AL63" i="11" s="1"/>
  <c r="AY90" i="11"/>
  <c r="AE90" i="11" s="1"/>
  <c r="BJ33" i="11"/>
  <c r="AF33" i="11" s="1"/>
  <c r="BO10" i="11"/>
  <c r="AG10" i="11" s="1"/>
  <c r="BJ12" i="11"/>
  <c r="AF12" i="11"/>
  <c r="AF26" i="11"/>
  <c r="BO14" i="11"/>
  <c r="AG14" i="11" s="1"/>
  <c r="BJ13" i="11"/>
  <c r="AF13" i="11" s="1"/>
  <c r="BO25" i="11"/>
  <c r="AG25" i="11" s="1"/>
  <c r="BJ24" i="11"/>
  <c r="AF24" i="11"/>
  <c r="AY104" i="11"/>
  <c r="AE104" i="11" s="1"/>
  <c r="BO42" i="11"/>
  <c r="AG42" i="11"/>
  <c r="BJ35" i="11"/>
  <c r="AF35" i="11" s="1"/>
  <c r="AD35" i="11"/>
  <c r="AB35" i="11" s="1"/>
  <c r="BO23" i="11"/>
  <c r="AG23" i="11" s="1"/>
  <c r="BT14" i="1"/>
  <c r="AF162" i="1"/>
  <c r="AG12" i="18"/>
  <c r="K86" i="18" s="1"/>
  <c r="K99" i="18"/>
  <c r="AD12" i="18"/>
  <c r="AH12" i="18"/>
  <c r="AE12" i="18"/>
  <c r="BN16" i="1"/>
  <c r="S51" i="6" s="1"/>
  <c r="BM16" i="1"/>
  <c r="AF12" i="18"/>
  <c r="K34" i="18" s="1"/>
  <c r="K41" i="18"/>
  <c r="AI13" i="18"/>
  <c r="AH162" i="1"/>
  <c r="AG13" i="18"/>
  <c r="L86" i="18" s="1"/>
  <c r="L106" i="18" s="1"/>
  <c r="AG162" i="1"/>
  <c r="AI12" i="18"/>
  <c r="BK12" i="1"/>
  <c r="P47" i="6"/>
  <c r="AS7" i="1"/>
  <c r="E42" i="6" s="1"/>
  <c r="AH13" i="18"/>
  <c r="BN19" i="1"/>
  <c r="S54" i="6" s="1"/>
  <c r="D42" i="6"/>
  <c r="BE7" i="1"/>
  <c r="K42" i="6"/>
  <c r="BK7" i="1"/>
  <c r="BD15" i="1"/>
  <c r="AW12" i="1"/>
  <c r="I47" i="6" s="1"/>
  <c r="AW18" i="1"/>
  <c r="I53" i="6"/>
  <c r="BJ7" i="1"/>
  <c r="O42" i="6"/>
  <c r="BT7" i="1"/>
  <c r="AU7" i="1"/>
  <c r="BX7" i="1"/>
  <c r="BG18" i="1"/>
  <c r="M53" i="6" s="1"/>
  <c r="AW28" i="1"/>
  <c r="I56" i="6"/>
  <c r="AT50" i="1"/>
  <c r="E6" i="8" s="1"/>
  <c r="D53" i="6"/>
  <c r="D49" i="6"/>
  <c r="AV14" i="1"/>
  <c r="H49" i="6" s="1"/>
  <c r="BM18" i="1"/>
  <c r="R53" i="6" s="1"/>
  <c r="DC18" i="1"/>
  <c r="BU12" i="1"/>
  <c r="AS14" i="1"/>
  <c r="BV14" i="1" s="1"/>
  <c r="BK14" i="1"/>
  <c r="G56" i="6"/>
  <c r="O54" i="6"/>
  <c r="AT15" i="1"/>
  <c r="F50" i="6" s="1"/>
  <c r="AY17" i="1"/>
  <c r="S17" i="4"/>
  <c r="AT14" i="1"/>
  <c r="BH14" i="1"/>
  <c r="AW5" i="1"/>
  <c r="BZ5" i="1" s="1"/>
  <c r="BT12" i="1"/>
  <c r="BK19" i="1"/>
  <c r="BM12" i="1"/>
  <c r="R47" i="6" s="1"/>
  <c r="J19" i="4"/>
  <c r="BN10" i="1"/>
  <c r="S45" i="6" s="1"/>
  <c r="BL14" i="1"/>
  <c r="CO14" i="1"/>
  <c r="BL19" i="1"/>
  <c r="Q54" i="6" s="1"/>
  <c r="AU12" i="1"/>
  <c r="G47" i="6"/>
  <c r="DC15" i="1"/>
  <c r="BM19" i="1"/>
  <c r="AW14" i="1"/>
  <c r="AV7" i="1"/>
  <c r="BM7" i="1"/>
  <c r="R42" i="6" s="1"/>
  <c r="BL7" i="1"/>
  <c r="J7" i="4"/>
  <c r="DC7" i="1"/>
  <c r="BU7" i="1"/>
  <c r="AW7" i="1"/>
  <c r="BG7" i="1"/>
  <c r="AT7" i="1"/>
  <c r="BD7" i="1"/>
  <c r="BH7" i="1"/>
  <c r="BF7" i="1"/>
  <c r="CJ7" i="1"/>
  <c r="BN12" i="1"/>
  <c r="S47" i="6" s="1"/>
  <c r="BK15" i="1"/>
  <c r="P50" i="6" s="1"/>
  <c r="DC14" i="1"/>
  <c r="DC12" i="1"/>
  <c r="BG12" i="1"/>
  <c r="M47" i="6"/>
  <c r="AS19" i="1"/>
  <c r="E54" i="6" s="1"/>
  <c r="BU14" i="1"/>
  <c r="BF12" i="1"/>
  <c r="J5" i="4"/>
  <c r="AW19" i="1"/>
  <c r="BN15" i="1"/>
  <c r="S50" i="6"/>
  <c r="BD19" i="1"/>
  <c r="J54" i="6"/>
  <c r="BH5" i="1"/>
  <c r="N40" i="6"/>
  <c r="AT19" i="1"/>
  <c r="F54" i="6" s="1"/>
  <c r="BM14" i="1"/>
  <c r="R49" i="6" s="1"/>
  <c r="BE19" i="1"/>
  <c r="D40" i="6"/>
  <c r="DC19" i="1"/>
  <c r="BH12" i="1"/>
  <c r="N47" i="6" s="1"/>
  <c r="BJ15" i="1"/>
  <c r="O50" i="6"/>
  <c r="BN14" i="1"/>
  <c r="CQ14" i="1" s="1"/>
  <c r="BL5" i="1"/>
  <c r="Q40" i="6" s="1"/>
  <c r="J15" i="4"/>
  <c r="BF14" i="1"/>
  <c r="BF15" i="1"/>
  <c r="L50" i="6" s="1"/>
  <c r="BU5" i="1"/>
  <c r="BD12" i="1"/>
  <c r="AW15" i="1"/>
  <c r="I50" i="6" s="1"/>
  <c r="BE14" i="1"/>
  <c r="K49" i="6" s="1"/>
  <c r="BM15" i="1"/>
  <c r="R50" i="6" s="1"/>
  <c r="BU19" i="1"/>
  <c r="BE5" i="1"/>
  <c r="K40" i="6"/>
  <c r="D54" i="6"/>
  <c r="BL10" i="1"/>
  <c r="Q45" i="6" s="1"/>
  <c r="BJ14" i="1"/>
  <c r="O49" i="6" s="1"/>
  <c r="BJ5" i="1"/>
  <c r="O40" i="6"/>
  <c r="BH19" i="1"/>
  <c r="CV19" i="1"/>
  <c r="BE12" i="1"/>
  <c r="J12" i="4"/>
  <c r="AV19" i="1"/>
  <c r="H54" i="6"/>
  <c r="AZ17" i="1"/>
  <c r="T17" i="4" s="1"/>
  <c r="AS50" i="1"/>
  <c r="D6" i="8" s="1"/>
  <c r="AU14" i="1"/>
  <c r="BT10" i="1"/>
  <c r="D47" i="6"/>
  <c r="AV12" i="1"/>
  <c r="BT19" i="1"/>
  <c r="BL15" i="1"/>
  <c r="Q50" i="6"/>
  <c r="BG19" i="1"/>
  <c r="M54" i="6" s="1"/>
  <c r="J14" i="4"/>
  <c r="D50" i="6"/>
  <c r="BU15" i="1"/>
  <c r="AS5" i="1"/>
  <c r="E40" i="6" s="1"/>
  <c r="AS12" i="1"/>
  <c r="E47" i="6" s="1"/>
  <c r="BL12" i="1"/>
  <c r="BF19" i="1"/>
  <c r="AU19" i="1"/>
  <c r="BD14" i="1"/>
  <c r="BJ12" i="1"/>
  <c r="K82" i="18"/>
  <c r="AB12" i="18" s="1"/>
  <c r="F51" i="10"/>
  <c r="U82" i="18"/>
  <c r="AB24" i="18" s="1"/>
  <c r="AI174" i="1" s="1"/>
  <c r="BJ10" i="1"/>
  <c r="O45" i="6" s="1"/>
  <c r="AG19" i="18"/>
  <c r="Q86" i="18"/>
  <c r="Q96" i="18" s="1"/>
  <c r="AH19" i="18"/>
  <c r="AD19" i="18"/>
  <c r="V169" i="1"/>
  <c r="AF19" i="18"/>
  <c r="Q34" i="18" s="1"/>
  <c r="Q50" i="18" s="1"/>
  <c r="AG169" i="1"/>
  <c r="D46" i="6"/>
  <c r="J11" i="4"/>
  <c r="BT11" i="1"/>
  <c r="DC11" i="1"/>
  <c r="BU11" i="1"/>
  <c r="BD11" i="1"/>
  <c r="BM11" i="1"/>
  <c r="AU11" i="1"/>
  <c r="BG11" i="1"/>
  <c r="AW11" i="1"/>
  <c r="BE11" i="1"/>
  <c r="BN11" i="1"/>
  <c r="S46" i="6" s="1"/>
  <c r="AV11" i="1"/>
  <c r="CE11" i="1" s="1"/>
  <c r="BK11" i="1"/>
  <c r="BJ11" i="1"/>
  <c r="CM11" i="1" s="1"/>
  <c r="AT11" i="1"/>
  <c r="AS11" i="1"/>
  <c r="BL11" i="1"/>
  <c r="BG9" i="1"/>
  <c r="BL9" i="1"/>
  <c r="BM9" i="1"/>
  <c r="J9" i="4"/>
  <c r="DC9" i="1"/>
  <c r="BF9" i="1"/>
  <c r="AV9" i="1"/>
  <c r="BH9" i="1"/>
  <c r="AW9" i="1"/>
  <c r="BD9" i="1"/>
  <c r="CR9" i="1" s="1"/>
  <c r="AS9" i="1"/>
  <c r="BT9" i="1"/>
  <c r="BW9" i="1"/>
  <c r="BJ9" i="1"/>
  <c r="AU9" i="1"/>
  <c r="BK9" i="1"/>
  <c r="BE9" i="1"/>
  <c r="BU9" i="1"/>
  <c r="CC9" i="1" s="1"/>
  <c r="BN9" i="1"/>
  <c r="D44" i="6"/>
  <c r="J13" i="4"/>
  <c r="D48" i="6"/>
  <c r="AU13" i="1"/>
  <c r="BM13" i="1"/>
  <c r="BG13" i="1"/>
  <c r="BK13" i="1"/>
  <c r="BT13" i="1"/>
  <c r="BL13" i="1"/>
  <c r="BU13" i="1"/>
  <c r="BD13" i="1"/>
  <c r="DC13" i="1"/>
  <c r="BH13" i="1"/>
  <c r="AT13" i="1"/>
  <c r="BN13" i="1"/>
  <c r="AS13" i="1"/>
  <c r="AW13" i="1"/>
  <c r="BE13" i="1"/>
  <c r="AV13" i="1"/>
  <c r="BF13" i="1"/>
  <c r="BJ13" i="1"/>
  <c r="BH10" i="1"/>
  <c r="BU10" i="1"/>
  <c r="CS10" i="1" s="1"/>
  <c r="BF10" i="1"/>
  <c r="BK10" i="1"/>
  <c r="CN10" i="1" s="1"/>
  <c r="AT10" i="1"/>
  <c r="DC10" i="1"/>
  <c r="AW10" i="1"/>
  <c r="AU10" i="1"/>
  <c r="BE10" i="1"/>
  <c r="AS10" i="1"/>
  <c r="AV10" i="1"/>
  <c r="BM10" i="1"/>
  <c r="D45" i="6"/>
  <c r="J10" i="4"/>
  <c r="BD10" i="1"/>
  <c r="AE19" i="18"/>
  <c r="AR17" i="1"/>
  <c r="AV15" i="1"/>
  <c r="BT15" i="1"/>
  <c r="AS15" i="1"/>
  <c r="AU15" i="1"/>
  <c r="BG15" i="1"/>
  <c r="BE15" i="1"/>
  <c r="AI19" i="18"/>
  <c r="BH11" i="1"/>
  <c r="BF5" i="1"/>
  <c r="L40" i="6" s="1"/>
  <c r="AF169" i="1"/>
  <c r="BF11" i="1"/>
  <c r="BT5" i="1"/>
  <c r="CI5" i="1" s="1"/>
  <c r="AH169" i="1"/>
  <c r="BT18" i="1"/>
  <c r="CQ18" i="1" s="1"/>
  <c r="AU18" i="1"/>
  <c r="BL18" i="1"/>
  <c r="AT18" i="1"/>
  <c r="BJ18" i="1"/>
  <c r="BK18" i="1"/>
  <c r="AS18" i="1"/>
  <c r="BD18" i="1"/>
  <c r="BF18" i="1"/>
  <c r="BE18" i="1"/>
  <c r="AV18" i="1"/>
  <c r="BH18" i="1"/>
  <c r="BU18" i="1"/>
  <c r="CU18" i="1" s="1"/>
  <c r="BB17" i="1"/>
  <c r="R17" i="4" s="1"/>
  <c r="R20" i="4"/>
  <c r="E32" i="4" s="1"/>
  <c r="G32" i="4"/>
  <c r="AN18" i="1" s="1"/>
  <c r="BM5" i="1"/>
  <c r="R40" i="6"/>
  <c r="DC5" i="1"/>
  <c r="BN5" i="1"/>
  <c r="AV5" i="1"/>
  <c r="H40" i="6" s="1"/>
  <c r="AW6" i="1"/>
  <c r="BK6" i="1"/>
  <c r="BD6" i="1"/>
  <c r="DC6" i="1"/>
  <c r="AT6" i="1"/>
  <c r="J6" i="4"/>
  <c r="BG5" i="1"/>
  <c r="BD5" i="1"/>
  <c r="J40" i="6" s="1"/>
  <c r="AU5" i="1"/>
  <c r="G40" i="6" s="1"/>
  <c r="BC17" i="1"/>
  <c r="BC20" i="1" s="1"/>
  <c r="BK5" i="1"/>
  <c r="K79" i="5"/>
  <c r="W79" i="5"/>
  <c r="V79" i="5"/>
  <c r="U79" i="5"/>
  <c r="N6" i="5"/>
  <c r="K72" i="5"/>
  <c r="W72" i="5"/>
  <c r="W73" i="5"/>
  <c r="W74" i="5"/>
  <c r="U72" i="5"/>
  <c r="V72" i="5"/>
  <c r="K74" i="5"/>
  <c r="V74" i="5"/>
  <c r="U74" i="5"/>
  <c r="U73" i="5"/>
  <c r="K73" i="5"/>
  <c r="H76" i="5"/>
  <c r="I76" i="5"/>
  <c r="J76" i="5"/>
  <c r="E121" i="5"/>
  <c r="F121" i="5"/>
  <c r="N121" i="5"/>
  <c r="K66" i="5"/>
  <c r="V66" i="5"/>
  <c r="H64" i="5"/>
  <c r="I64" i="5"/>
  <c r="J64" i="5"/>
  <c r="N5" i="5"/>
  <c r="M87" i="18"/>
  <c r="M108" i="18" s="1"/>
  <c r="AK15" i="18" s="1"/>
  <c r="P58" i="18"/>
  <c r="U68" i="5"/>
  <c r="V68" i="5"/>
  <c r="W68" i="5"/>
  <c r="K68" i="5"/>
  <c r="K65" i="5"/>
  <c r="U65" i="5"/>
  <c r="V65" i="5"/>
  <c r="W65" i="5"/>
  <c r="K67" i="5"/>
  <c r="U67" i="5"/>
  <c r="V67" i="5"/>
  <c r="W67" i="5"/>
  <c r="U66" i="5"/>
  <c r="U69" i="5" s="1"/>
  <c r="S58" i="18"/>
  <c r="M106" i="18"/>
  <c r="S50" i="18"/>
  <c r="J54" i="18"/>
  <c r="J56" i="18"/>
  <c r="J43" i="18"/>
  <c r="M90" i="18"/>
  <c r="M89" i="18"/>
  <c r="S49" i="18"/>
  <c r="S40" i="18"/>
  <c r="P40" i="18"/>
  <c r="N92" i="18"/>
  <c r="N87" i="18"/>
  <c r="N103" i="18"/>
  <c r="N94" i="18"/>
  <c r="N91" i="18"/>
  <c r="N108" i="18" s="1"/>
  <c r="AK16" i="18" s="1"/>
  <c r="N89" i="18"/>
  <c r="S99" i="18"/>
  <c r="N90" i="18"/>
  <c r="N88" i="18"/>
  <c r="N105" i="18"/>
  <c r="M95" i="18"/>
  <c r="N95" i="18"/>
  <c r="M104" i="18"/>
  <c r="M94" i="18"/>
  <c r="N93" i="18"/>
  <c r="M107" i="18"/>
  <c r="M99" i="18"/>
  <c r="U60" i="5"/>
  <c r="E25" i="5"/>
  <c r="V60" i="5"/>
  <c r="K60" i="5"/>
  <c r="E124" i="5" s="1"/>
  <c r="E126" i="5" s="1"/>
  <c r="E26" i="5" s="1"/>
  <c r="W60" i="5"/>
  <c r="P49" i="18"/>
  <c r="P55" i="18"/>
  <c r="P43" i="18"/>
  <c r="P50" i="18"/>
  <c r="P47" i="18"/>
  <c r="P57" i="18"/>
  <c r="P48" i="18"/>
  <c r="U59" i="5"/>
  <c r="C25" i="5"/>
  <c r="K59" i="5"/>
  <c r="V59" i="5"/>
  <c r="W59" i="5"/>
  <c r="P41" i="18"/>
  <c r="P46" i="18"/>
  <c r="K62" i="5"/>
  <c r="F25" i="5"/>
  <c r="AT41" i="1"/>
  <c r="U62" i="5"/>
  <c r="V62" i="5"/>
  <c r="W62" i="5"/>
  <c r="P51" i="18"/>
  <c r="U61" i="5"/>
  <c r="V61" i="5"/>
  <c r="K61" i="5"/>
  <c r="W61" i="5"/>
  <c r="P45" i="18"/>
  <c r="P56" i="18"/>
  <c r="H45" i="18"/>
  <c r="P54" i="18"/>
  <c r="P42" i="18"/>
  <c r="P44" i="18"/>
  <c r="P38" i="18"/>
  <c r="P53" i="18"/>
  <c r="H50" i="18"/>
  <c r="H43" i="18"/>
  <c r="M105" i="18"/>
  <c r="M88" i="18"/>
  <c r="S89" i="18"/>
  <c r="S97" i="18"/>
  <c r="H46" i="18"/>
  <c r="N54" i="18"/>
  <c r="S88" i="18"/>
  <c r="S103" i="18"/>
  <c r="N39" i="18"/>
  <c r="J51" i="18"/>
  <c r="N46" i="18"/>
  <c r="M50" i="18"/>
  <c r="J44" i="18"/>
  <c r="M53" i="18"/>
  <c r="J58" i="18"/>
  <c r="J45" i="18"/>
  <c r="J40" i="18"/>
  <c r="N106" i="18"/>
  <c r="J55" i="18"/>
  <c r="J41" i="18"/>
  <c r="N107" i="18"/>
  <c r="N53" i="18"/>
  <c r="J38" i="18"/>
  <c r="N97" i="18"/>
  <c r="N99" i="18"/>
  <c r="H55" i="18"/>
  <c r="M93" i="18"/>
  <c r="N102" i="18"/>
  <c r="M58" i="18"/>
  <c r="H38" i="18"/>
  <c r="J53" i="18"/>
  <c r="N104" i="18"/>
  <c r="N56" i="18"/>
  <c r="N96" i="18"/>
  <c r="M54" i="18"/>
  <c r="J46" i="18"/>
  <c r="M98" i="18"/>
  <c r="H105" i="18"/>
  <c r="N98" i="18"/>
  <c r="H48" i="18"/>
  <c r="H107" i="18"/>
  <c r="U92" i="18"/>
  <c r="H44" i="18"/>
  <c r="R54" i="6"/>
  <c r="J49" i="18"/>
  <c r="J57" i="18"/>
  <c r="J48" i="18"/>
  <c r="J47" i="18"/>
  <c r="J39" i="18"/>
  <c r="J50" i="18"/>
  <c r="H47" i="18"/>
  <c r="H42" i="18"/>
  <c r="H97" i="18"/>
  <c r="H98" i="18"/>
  <c r="H51" i="18"/>
  <c r="CO19" i="1"/>
  <c r="H41" i="18"/>
  <c r="H56" i="18"/>
  <c r="H92" i="18"/>
  <c r="H99" i="18"/>
  <c r="U105" i="18"/>
  <c r="H49" i="18"/>
  <c r="U99" i="18"/>
  <c r="H57" i="18"/>
  <c r="H40" i="18"/>
  <c r="H58" i="18"/>
  <c r="H95" i="18"/>
  <c r="H100" i="18"/>
  <c r="H93" i="18"/>
  <c r="U100" i="18"/>
  <c r="H96" i="18"/>
  <c r="U95" i="18"/>
  <c r="H39" i="18"/>
  <c r="H53" i="18"/>
  <c r="H104" i="18"/>
  <c r="U98" i="18"/>
  <c r="H103" i="18"/>
  <c r="H88" i="18"/>
  <c r="H87" i="18"/>
  <c r="H106" i="18"/>
  <c r="U94" i="18"/>
  <c r="H102" i="18"/>
  <c r="U87" i="18"/>
  <c r="H94" i="18"/>
  <c r="H90" i="18"/>
  <c r="H89" i="18"/>
  <c r="F44" i="6"/>
  <c r="U104" i="18"/>
  <c r="S53" i="6"/>
  <c r="M43" i="18"/>
  <c r="M51" i="18"/>
  <c r="M49" i="18"/>
  <c r="M40" i="18"/>
  <c r="M46" i="18"/>
  <c r="M39" i="18"/>
  <c r="M42" i="18"/>
  <c r="M47" i="18"/>
  <c r="M56" i="18"/>
  <c r="M38" i="18"/>
  <c r="M48" i="18"/>
  <c r="CQ7" i="1"/>
  <c r="S42" i="6"/>
  <c r="M57" i="18"/>
  <c r="M97" i="18"/>
  <c r="M96" i="18"/>
  <c r="M91" i="18"/>
  <c r="M103" i="18"/>
  <c r="M100" i="18"/>
  <c r="M92" i="18"/>
  <c r="M55" i="18"/>
  <c r="N40" i="18"/>
  <c r="N55" i="18"/>
  <c r="N47" i="18"/>
  <c r="N38" i="18"/>
  <c r="N41" i="18"/>
  <c r="N43" i="18"/>
  <c r="N58" i="18"/>
  <c r="N57" i="18"/>
  <c r="N45" i="18"/>
  <c r="N44" i="18"/>
  <c r="N51" i="18"/>
  <c r="N50" i="18"/>
  <c r="N49" i="18"/>
  <c r="N48" i="18"/>
  <c r="M41" i="18"/>
  <c r="M45" i="18"/>
  <c r="AY20" i="1"/>
  <c r="S8" i="4"/>
  <c r="O51" i="18"/>
  <c r="O42" i="18"/>
  <c r="O41" i="18"/>
  <c r="O54" i="18"/>
  <c r="O44" i="18"/>
  <c r="O50" i="18"/>
  <c r="O49" i="18"/>
  <c r="O45" i="18"/>
  <c r="O48" i="18"/>
  <c r="O53" i="18"/>
  <c r="O46" i="18"/>
  <c r="O56" i="18"/>
  <c r="T8" i="4"/>
  <c r="T20" i="4" s="1"/>
  <c r="L103" i="18"/>
  <c r="K23" i="4"/>
  <c r="BM47" i="1"/>
  <c r="BO47" i="1" s="1"/>
  <c r="K27" i="4" s="1"/>
  <c r="H163" i="1"/>
  <c r="N163" i="1" s="1"/>
  <c r="U8" i="4"/>
  <c r="U20" i="4"/>
  <c r="T34" i="4" s="1"/>
  <c r="BA20" i="1"/>
  <c r="J100" i="18"/>
  <c r="J93" i="18"/>
  <c r="J104" i="18"/>
  <c r="J90" i="18"/>
  <c r="J103" i="18"/>
  <c r="J99" i="18"/>
  <c r="J95" i="18"/>
  <c r="J91" i="18"/>
  <c r="J88" i="18"/>
  <c r="J107" i="18"/>
  <c r="J106" i="18"/>
  <c r="J98" i="18"/>
  <c r="J97" i="18"/>
  <c r="O93" i="18"/>
  <c r="O105" i="18"/>
  <c r="O103" i="18"/>
  <c r="O94" i="18"/>
  <c r="O104" i="18"/>
  <c r="O90" i="18"/>
  <c r="O102" i="18"/>
  <c r="O88" i="18"/>
  <c r="O107" i="18"/>
  <c r="O99" i="18"/>
  <c r="O91" i="18"/>
  <c r="O98" i="18"/>
  <c r="O97" i="18"/>
  <c r="O95" i="18"/>
  <c r="O108" i="18" s="1"/>
  <c r="O89" i="18"/>
  <c r="O106" i="18"/>
  <c r="O92" i="18"/>
  <c r="O100" i="18"/>
  <c r="O96" i="18"/>
  <c r="T56" i="18"/>
  <c r="T58" i="18"/>
  <c r="T38" i="18"/>
  <c r="T48" i="18"/>
  <c r="T55" i="18"/>
  <c r="T42" i="18"/>
  <c r="T50" i="18"/>
  <c r="T45" i="18"/>
  <c r="T57" i="18"/>
  <c r="T51" i="18"/>
  <c r="T47" i="18"/>
  <c r="T49" i="18"/>
  <c r="T39" i="18"/>
  <c r="T41" i="18"/>
  <c r="T53" i="18"/>
  <c r="T54" i="18"/>
  <c r="T46" i="18"/>
  <c r="T40" i="18"/>
  <c r="T43" i="18"/>
  <c r="T44" i="18"/>
  <c r="BK8" i="1"/>
  <c r="BL8" i="1"/>
  <c r="BE8" i="1"/>
  <c r="BM8" i="1"/>
  <c r="AV8" i="1"/>
  <c r="CE8" i="1" s="1"/>
  <c r="BJ8" i="1"/>
  <c r="AT8" i="1"/>
  <c r="AW8" i="1"/>
  <c r="I43" i="6" s="1"/>
  <c r="BG8" i="1"/>
  <c r="CU8" i="1" s="1"/>
  <c r="BF8" i="1"/>
  <c r="BD8" i="1"/>
  <c r="AS8" i="1"/>
  <c r="BH8" i="1"/>
  <c r="AU8" i="1"/>
  <c r="BN8" i="1"/>
  <c r="J8" i="4"/>
  <c r="D43" i="6"/>
  <c r="BU8" i="1"/>
  <c r="DC8" i="1"/>
  <c r="BT8" i="1"/>
  <c r="CI8" i="1" s="1"/>
  <c r="T97" i="18"/>
  <c r="T106" i="18"/>
  <c r="T96" i="18"/>
  <c r="T91" i="18"/>
  <c r="T90" i="18"/>
  <c r="T99" i="18"/>
  <c r="T95" i="18"/>
  <c r="T98" i="18"/>
  <c r="T89" i="18"/>
  <c r="T103" i="18"/>
  <c r="T104" i="18"/>
  <c r="T105" i="18"/>
  <c r="T102" i="18"/>
  <c r="T107" i="18"/>
  <c r="T92" i="18"/>
  <c r="T94" i="18"/>
  <c r="T100" i="18"/>
  <c r="T88" i="18"/>
  <c r="T108" i="18" s="1"/>
  <c r="AK22" i="18" s="1"/>
  <c r="T93" i="18"/>
  <c r="L40" i="18"/>
  <c r="BO46" i="11"/>
  <c r="AG46" i="11" s="1"/>
  <c r="BJ37" i="11"/>
  <c r="AF37" i="11" s="1"/>
  <c r="AD37" i="11" s="1"/>
  <c r="AB37" i="11" s="1"/>
  <c r="BJ28" i="11"/>
  <c r="AF28" i="11" s="1"/>
  <c r="BJ20" i="11"/>
  <c r="AF20" i="11" s="1"/>
  <c r="BO12" i="11"/>
  <c r="AG12" i="11" s="1"/>
  <c r="AJ74" i="11"/>
  <c r="AK74" i="11" s="1"/>
  <c r="AL74" i="11" s="1"/>
  <c r="BO20" i="11"/>
  <c r="AG20" i="11" s="1"/>
  <c r="AD20" i="11" s="1"/>
  <c r="AB20" i="11" s="1"/>
  <c r="BJ36" i="11"/>
  <c r="AF36" i="11"/>
  <c r="BO16" i="11"/>
  <c r="AG16" i="11" s="1"/>
  <c r="BO44" i="11"/>
  <c r="AG44" i="11" s="1"/>
  <c r="BJ25" i="11"/>
  <c r="AF25" i="11" s="1"/>
  <c r="BO28" i="11"/>
  <c r="AG28" i="11" s="1"/>
  <c r="AY110" i="11"/>
  <c r="AE110" i="11"/>
  <c r="BO26" i="11"/>
  <c r="AG26" i="11" s="1"/>
  <c r="AI26" i="11" s="1"/>
  <c r="AJ26" i="11" s="1"/>
  <c r="AK26" i="11" s="1"/>
  <c r="AL26" i="11" s="1"/>
  <c r="BJ9" i="11"/>
  <c r="AF9" i="11" s="1"/>
  <c r="AY105" i="11"/>
  <c r="AE105" i="11"/>
  <c r="BJ19" i="11"/>
  <c r="AF19" i="11" s="1"/>
  <c r="BJ14" i="11"/>
  <c r="AF14" i="11" s="1"/>
  <c r="BJ45" i="11"/>
  <c r="AF45" i="11" s="1"/>
  <c r="BO29" i="11"/>
  <c r="AG29" i="11"/>
  <c r="BJ39" i="11"/>
  <c r="AF39" i="11" s="1"/>
  <c r="BO31" i="11"/>
  <c r="AG31" i="11" s="1"/>
  <c r="K35" i="18"/>
  <c r="H35" i="18"/>
  <c r="Q82" i="18"/>
  <c r="AB19" i="18" s="1"/>
  <c r="Q35" i="18"/>
  <c r="J35" i="18"/>
  <c r="J82" i="18"/>
  <c r="AB11" i="18"/>
  <c r="S35" i="18"/>
  <c r="AB10" i="18"/>
  <c r="AI160" i="1" s="1"/>
  <c r="I35" i="18"/>
  <c r="L35" i="18"/>
  <c r="L82" i="18"/>
  <c r="AB13" i="18" s="1"/>
  <c r="O82" i="18"/>
  <c r="AB17" i="18" s="1"/>
  <c r="O35" i="18"/>
  <c r="M35" i="18"/>
  <c r="M82" i="18"/>
  <c r="AB15" i="18" s="1"/>
  <c r="AJ38" i="11"/>
  <c r="AK38" i="11" s="1"/>
  <c r="AL38" i="11" s="1"/>
  <c r="AI17" i="11"/>
  <c r="AJ17" i="11" s="1"/>
  <c r="AK17" i="11" s="1"/>
  <c r="AL17" i="11" s="1"/>
  <c r="AI27" i="11"/>
  <c r="AJ27" i="11" s="1"/>
  <c r="AK27" i="11" s="1"/>
  <c r="AL27" i="11" s="1"/>
  <c r="CZ19" i="1"/>
  <c r="E49" i="6"/>
  <c r="CU19" i="1"/>
  <c r="CN7" i="1"/>
  <c r="K90" i="18"/>
  <c r="K91" i="18"/>
  <c r="K104" i="18"/>
  <c r="K94" i="18"/>
  <c r="K103" i="18"/>
  <c r="K87" i="18"/>
  <c r="K89" i="18"/>
  <c r="K102" i="18"/>
  <c r="K92" i="18"/>
  <c r="AD82" i="11"/>
  <c r="AB82" i="11"/>
  <c r="AI54" i="11"/>
  <c r="AJ54" i="11"/>
  <c r="AK54" i="11" s="1"/>
  <c r="AL54" i="11" s="1"/>
  <c r="AI82" i="11"/>
  <c r="AJ82" i="11"/>
  <c r="AK82" i="11" s="1"/>
  <c r="AL82" i="11" s="1"/>
  <c r="AD90" i="11"/>
  <c r="AB90" i="11"/>
  <c r="AD38" i="11"/>
  <c r="AB38" i="11" s="1"/>
  <c r="AD15" i="11"/>
  <c r="AB15" i="11" s="1"/>
  <c r="AI101" i="11"/>
  <c r="AJ101" i="11" s="1"/>
  <c r="AK101" i="11" s="1"/>
  <c r="AL101" i="11" s="1"/>
  <c r="AI109" i="11"/>
  <c r="AJ109" i="11" s="1"/>
  <c r="AK109" i="11" s="1"/>
  <c r="AL109" i="11" s="1"/>
  <c r="AD27" i="11"/>
  <c r="AB27" i="11"/>
  <c r="AI32" i="11"/>
  <c r="AJ32" i="11" s="1"/>
  <c r="AK32" i="11"/>
  <c r="AL32" i="11" s="1"/>
  <c r="AI95" i="11"/>
  <c r="AJ95" i="11" s="1"/>
  <c r="AK95" i="11" s="1"/>
  <c r="AL95" i="11" s="1"/>
  <c r="AD76" i="11"/>
  <c r="AB76" i="11" s="1"/>
  <c r="AI67" i="11"/>
  <c r="AJ67" i="11" s="1"/>
  <c r="AK67" i="11" s="1"/>
  <c r="AL67" i="11" s="1"/>
  <c r="AD26" i="11"/>
  <c r="AB26" i="11"/>
  <c r="AI90" i="11"/>
  <c r="AJ90" i="11"/>
  <c r="AK90" i="11"/>
  <c r="AL90" i="11" s="1"/>
  <c r="AI47" i="11"/>
  <c r="AJ47" i="11" s="1"/>
  <c r="AK47" i="11" s="1"/>
  <c r="AL47" i="11" s="1"/>
  <c r="AI73" i="11"/>
  <c r="AJ73" i="11"/>
  <c r="AK73" i="11" s="1"/>
  <c r="AL73" i="11" s="1"/>
  <c r="AD55" i="11"/>
  <c r="AB55" i="11"/>
  <c r="AD68" i="11"/>
  <c r="AB68" i="11" s="1"/>
  <c r="AD56" i="11"/>
  <c r="AB56" i="11" s="1"/>
  <c r="AI100" i="11"/>
  <c r="AJ100" i="11" s="1"/>
  <c r="AK100" i="11" s="1"/>
  <c r="AL100" i="11" s="1"/>
  <c r="AD98" i="11"/>
  <c r="AB98" i="11" s="1"/>
  <c r="AI76" i="11"/>
  <c r="AJ76" i="11" s="1"/>
  <c r="AK76" i="11" s="1"/>
  <c r="AL76" i="11" s="1"/>
  <c r="AD106" i="11"/>
  <c r="AB106" i="11"/>
  <c r="AD67" i="11"/>
  <c r="AB67" i="11"/>
  <c r="AI58" i="11"/>
  <c r="AJ58" i="11"/>
  <c r="AK58" i="11" s="1"/>
  <c r="AL58" i="11" s="1"/>
  <c r="AD101" i="11"/>
  <c r="AB101" i="11" s="1"/>
  <c r="AD85" i="11"/>
  <c r="AB85" i="11"/>
  <c r="AD42" i="11"/>
  <c r="AB42" i="11" s="1"/>
  <c r="AD66" i="11"/>
  <c r="AB66" i="11" s="1"/>
  <c r="AI98" i="11"/>
  <c r="AJ98" i="11"/>
  <c r="AK98" i="11" s="1"/>
  <c r="AL98" i="11" s="1"/>
  <c r="AI31" i="11"/>
  <c r="AJ31" i="11" s="1"/>
  <c r="AK31" i="11" s="1"/>
  <c r="AL31" i="11" s="1"/>
  <c r="AD107" i="11"/>
  <c r="AB107" i="11"/>
  <c r="AI91" i="11"/>
  <c r="AJ91" i="11" s="1"/>
  <c r="AK91" i="11" s="1"/>
  <c r="AL91" i="11" s="1"/>
  <c r="AI42" i="11"/>
  <c r="AJ42" i="11"/>
  <c r="AK42" i="11" s="1"/>
  <c r="AL42" i="11" s="1"/>
  <c r="AD79" i="11"/>
  <c r="AB79" i="11" s="1"/>
  <c r="AK106" i="11"/>
  <c r="AL106" i="11" s="1"/>
  <c r="AD73" i="11"/>
  <c r="AB73" i="11"/>
  <c r="AI18" i="11"/>
  <c r="AJ18" i="11"/>
  <c r="AK18" i="11"/>
  <c r="AL18" i="11"/>
  <c r="AI66" i="11"/>
  <c r="AJ66" i="11"/>
  <c r="AK66" i="11" s="1"/>
  <c r="AL66" i="11" s="1"/>
  <c r="AI35" i="11"/>
  <c r="AJ35" i="11" s="1"/>
  <c r="AK35" i="11" s="1"/>
  <c r="AL35" i="11" s="1"/>
  <c r="AD30" i="11"/>
  <c r="AB30" i="11" s="1"/>
  <c r="AD64" i="11"/>
  <c r="AB64" i="11" s="1"/>
  <c r="AD58" i="11"/>
  <c r="AB58" i="11"/>
  <c r="AI79" i="11"/>
  <c r="AJ79" i="11"/>
  <c r="AK79" i="11" s="1"/>
  <c r="AL79" i="11" s="1"/>
  <c r="AI113" i="11"/>
  <c r="AJ113" i="11"/>
  <c r="AK113" i="11"/>
  <c r="AL113" i="11" s="1"/>
  <c r="AI12" i="11"/>
  <c r="AJ12" i="11"/>
  <c r="AK12" i="11" s="1"/>
  <c r="AL12" i="11" s="1"/>
  <c r="AI65" i="11"/>
  <c r="AJ65" i="11" s="1"/>
  <c r="AK65" i="11" s="1"/>
  <c r="AL65" i="11" s="1"/>
  <c r="AD65" i="11"/>
  <c r="AB65" i="11"/>
  <c r="AI64" i="11"/>
  <c r="AJ64" i="11"/>
  <c r="AK64" i="11" s="1"/>
  <c r="AL64" i="11" s="1"/>
  <c r="AI85" i="11"/>
  <c r="AJ85" i="11" s="1"/>
  <c r="AK85" i="11" s="1"/>
  <c r="AL85" i="11" s="1"/>
  <c r="AD63" i="11"/>
  <c r="AB63" i="11" s="1"/>
  <c r="AD12" i="11"/>
  <c r="AB12" i="11" s="1"/>
  <c r="K58" i="18"/>
  <c r="K38" i="18"/>
  <c r="K42" i="18"/>
  <c r="K51" i="18"/>
  <c r="K46" i="18"/>
  <c r="K49" i="18"/>
  <c r="K48" i="18"/>
  <c r="CD14" i="1"/>
  <c r="S20" i="4"/>
  <c r="CI7" i="1"/>
  <c r="K55" i="18"/>
  <c r="BV7" i="1"/>
  <c r="CA7" i="1" s="1"/>
  <c r="V7" i="4" s="1"/>
  <c r="L89" i="18"/>
  <c r="L87" i="18"/>
  <c r="L104" i="18"/>
  <c r="CM7" i="1"/>
  <c r="L95" i="18"/>
  <c r="CK7" i="1"/>
  <c r="S49" i="6"/>
  <c r="P42" i="6"/>
  <c r="CW15" i="1"/>
  <c r="L92" i="18"/>
  <c r="R51" i="6"/>
  <c r="N54" i="6"/>
  <c r="CX15" i="1"/>
  <c r="L93" i="18"/>
  <c r="CL19" i="1"/>
  <c r="K45" i="18"/>
  <c r="L107" i="18"/>
  <c r="CE15" i="1"/>
  <c r="BO7" i="1"/>
  <c r="Q7" i="4"/>
  <c r="CR15" i="1"/>
  <c r="CB14" i="1"/>
  <c r="L91" i="18"/>
  <c r="K44" i="18"/>
  <c r="L90" i="18"/>
  <c r="CD12" i="1"/>
  <c r="CW19" i="1"/>
  <c r="L105" i="18"/>
  <c r="K43" i="18"/>
  <c r="K56" i="18"/>
  <c r="DA19" i="1"/>
  <c r="J50" i="6"/>
  <c r="L98" i="18"/>
  <c r="K47" i="18"/>
  <c r="BW19" i="1"/>
  <c r="CT19" i="1"/>
  <c r="L88" i="18"/>
  <c r="L94" i="18"/>
  <c r="CB19" i="1"/>
  <c r="K50" i="18"/>
  <c r="L96" i="18"/>
  <c r="L99" i="18"/>
  <c r="CZ15" i="1"/>
  <c r="CI14" i="1"/>
  <c r="L97" i="18"/>
  <c r="CV15" i="1"/>
  <c r="L100" i="18"/>
  <c r="K40" i="18"/>
  <c r="CP19" i="1"/>
  <c r="K53" i="18"/>
  <c r="CD15" i="1"/>
  <c r="CV12" i="1"/>
  <c r="L102" i="18"/>
  <c r="K54" i="18"/>
  <c r="K39" i="18"/>
  <c r="K57" i="18"/>
  <c r="BY14" i="1"/>
  <c r="Q100" i="18"/>
  <c r="CS12" i="1"/>
  <c r="CY12" i="1"/>
  <c r="Q90" i="18"/>
  <c r="Q88" i="18"/>
  <c r="CT12" i="1"/>
  <c r="CX12" i="1"/>
  <c r="Q104" i="18"/>
  <c r="Q47" i="6"/>
  <c r="CY19" i="1"/>
  <c r="Q94" i="18"/>
  <c r="Q103" i="18"/>
  <c r="CU12" i="1"/>
  <c r="DA12" i="1"/>
  <c r="CQ19" i="1"/>
  <c r="CC19" i="1"/>
  <c r="CE14" i="1"/>
  <c r="CV5" i="1"/>
  <c r="AX7" i="1"/>
  <c r="DG7" i="1" s="1"/>
  <c r="CF19" i="1"/>
  <c r="CX7" i="1"/>
  <c r="CN15" i="1"/>
  <c r="CO5" i="1"/>
  <c r="CN5" i="1"/>
  <c r="Q99" i="18"/>
  <c r="Q108" i="18" s="1"/>
  <c r="AK19" i="18" s="1"/>
  <c r="CF12" i="1"/>
  <c r="CB12" i="1"/>
  <c r="CJ12" i="1"/>
  <c r="Q102" i="18"/>
  <c r="L47" i="6"/>
  <c r="K47" i="6"/>
  <c r="Q98" i="18"/>
  <c r="Q89" i="18"/>
  <c r="CE12" i="1"/>
  <c r="BO12" i="1"/>
  <c r="Q12" i="4" s="1"/>
  <c r="CF15" i="1"/>
  <c r="CO7" i="1"/>
  <c r="AX12" i="1"/>
  <c r="DE12" i="1" s="1"/>
  <c r="O12" i="4"/>
  <c r="CZ12" i="1"/>
  <c r="P40" i="6"/>
  <c r="CJ13" i="1"/>
  <c r="CQ5" i="1"/>
  <c r="BW7" i="1"/>
  <c r="Q106" i="18"/>
  <c r="Q107" i="18"/>
  <c r="BY19" i="1"/>
  <c r="AX18" i="1"/>
  <c r="O18" i="4"/>
  <c r="CS14" i="1"/>
  <c r="CM19" i="1"/>
  <c r="BV19" i="1"/>
  <c r="CA19" i="1" s="1"/>
  <c r="AX28" i="1"/>
  <c r="AX50" i="1"/>
  <c r="H47" i="6"/>
  <c r="CK19" i="1"/>
  <c r="BI14" i="1"/>
  <c r="P14" i="4"/>
  <c r="Q43" i="18"/>
  <c r="Q93" i="18"/>
  <c r="Q49" i="18"/>
  <c r="Q42" i="18"/>
  <c r="Q95" i="18"/>
  <c r="CN19" i="1"/>
  <c r="CL12" i="1"/>
  <c r="CM15" i="1"/>
  <c r="Q47" i="18"/>
  <c r="CM10" i="1"/>
  <c r="CT15" i="1"/>
  <c r="CP15" i="1"/>
  <c r="AX19" i="1"/>
  <c r="O19" i="4" s="1"/>
  <c r="DG19" i="1"/>
  <c r="AZ20" i="1"/>
  <c r="I40" i="6"/>
  <c r="Q41" i="18"/>
  <c r="BW12" i="1"/>
  <c r="CJ15" i="1"/>
  <c r="BV12" i="1"/>
  <c r="CQ12" i="1"/>
  <c r="Q44" i="18"/>
  <c r="BX12" i="1"/>
  <c r="CW12" i="1"/>
  <c r="Q48" i="18"/>
  <c r="BZ12" i="1"/>
  <c r="CM12" i="1"/>
  <c r="CC15" i="1"/>
  <c r="BV5" i="1"/>
  <c r="O47" i="6"/>
  <c r="CK18" i="1"/>
  <c r="P49" i="6"/>
  <c r="CN14" i="1"/>
  <c r="CD19" i="1"/>
  <c r="CE19" i="1"/>
  <c r="CK12" i="1"/>
  <c r="BW5" i="1"/>
  <c r="CI12" i="1"/>
  <c r="Q105" i="18"/>
  <c r="CZ14" i="1"/>
  <c r="CM14" i="1"/>
  <c r="CY14" i="1"/>
  <c r="BY5" i="1"/>
  <c r="Q91" i="18"/>
  <c r="Q87" i="18"/>
  <c r="CW14" i="1"/>
  <c r="Q56" i="18"/>
  <c r="Q57" i="18"/>
  <c r="BI19" i="1"/>
  <c r="P19" i="4"/>
  <c r="CN12" i="1"/>
  <c r="BO5" i="1"/>
  <c r="Q5" i="4" s="1"/>
  <c r="CO12" i="1"/>
  <c r="CP12" i="1"/>
  <c r="Q54" i="18"/>
  <c r="CM5" i="1"/>
  <c r="BY12" i="1"/>
  <c r="Q39" i="18"/>
  <c r="Q45" i="18"/>
  <c r="Q92" i="18"/>
  <c r="Q97" i="18"/>
  <c r="BI5" i="1"/>
  <c r="P5" i="4"/>
  <c r="CR12" i="1"/>
  <c r="CJ10" i="1"/>
  <c r="CB5" i="1"/>
  <c r="CE5" i="1"/>
  <c r="Q49" i="6"/>
  <c r="BZ10" i="1"/>
  <c r="CT7" i="1"/>
  <c r="L42" i="6"/>
  <c r="CR7" i="1"/>
  <c r="J42" i="6"/>
  <c r="CZ5" i="1"/>
  <c r="CZ18" i="1"/>
  <c r="BX19" i="1"/>
  <c r="CX19" i="1"/>
  <c r="F42" i="6"/>
  <c r="CC7" i="1"/>
  <c r="CW5" i="1"/>
  <c r="CB7" i="1"/>
  <c r="CY5" i="1"/>
  <c r="DA5" i="1"/>
  <c r="CW7" i="1"/>
  <c r="G54" i="6"/>
  <c r="P54" i="6"/>
  <c r="CU7" i="1"/>
  <c r="M42" i="6"/>
  <c r="BI12" i="1"/>
  <c r="P12" i="4" s="1"/>
  <c r="CF18" i="1"/>
  <c r="J49" i="6"/>
  <c r="CR14" i="1"/>
  <c r="CH14" i="1"/>
  <c r="CH19" i="1"/>
  <c r="CR19" i="1"/>
  <c r="I42" i="6"/>
  <c r="CF7" i="1"/>
  <c r="CH12" i="1"/>
  <c r="K54" i="6"/>
  <c r="DA15" i="1"/>
  <c r="BX14" i="1"/>
  <c r="BB20" i="1"/>
  <c r="L54" i="6"/>
  <c r="CJ19" i="1"/>
  <c r="I54" i="6"/>
  <c r="BZ19" i="1"/>
  <c r="N42" i="6"/>
  <c r="CV7" i="1"/>
  <c r="J47" i="6"/>
  <c r="CS19" i="1"/>
  <c r="CT14" i="1"/>
  <c r="L49" i="6"/>
  <c r="CJ14" i="1"/>
  <c r="CU5" i="1"/>
  <c r="CI19" i="1"/>
  <c r="CX14" i="1"/>
  <c r="Q42" i="6"/>
  <c r="CY7" i="1"/>
  <c r="AX14" i="1"/>
  <c r="CH10" i="1"/>
  <c r="G42" i="6"/>
  <c r="CD7" i="1"/>
  <c r="CL14" i="1"/>
  <c r="CV14" i="1"/>
  <c r="N49" i="6"/>
  <c r="CO10" i="1"/>
  <c r="CX5" i="1"/>
  <c r="CR5" i="1"/>
  <c r="CP7" i="1"/>
  <c r="CZ7" i="1"/>
  <c r="BW14" i="1"/>
  <c r="CA14" i="1" s="1"/>
  <c r="V14" i="4" s="1"/>
  <c r="CC14" i="1"/>
  <c r="CG14" i="1" s="1"/>
  <c r="W14" i="4" s="1"/>
  <c r="F49" i="6"/>
  <c r="CH5" i="1"/>
  <c r="CH7" i="1"/>
  <c r="BO14" i="1"/>
  <c r="Q14" i="4" s="1"/>
  <c r="H42" i="6"/>
  <c r="CE7" i="1"/>
  <c r="BW10" i="1"/>
  <c r="CP10" i="1"/>
  <c r="DA14" i="1"/>
  <c r="I49" i="6"/>
  <c r="BZ14" i="1"/>
  <c r="CF14" i="1"/>
  <c r="CL10" i="1"/>
  <c r="CF5" i="1"/>
  <c r="DA7" i="1"/>
  <c r="BO15" i="1"/>
  <c r="Q15" i="4" s="1"/>
  <c r="CP14" i="1"/>
  <c r="G49" i="6"/>
  <c r="BI15" i="1"/>
  <c r="P15" i="4"/>
  <c r="BY10" i="1"/>
  <c r="CQ10" i="1"/>
  <c r="CL7" i="1"/>
  <c r="BV10" i="1"/>
  <c r="CY15" i="1"/>
  <c r="BI7" i="1"/>
  <c r="P7" i="4"/>
  <c r="M40" i="6"/>
  <c r="CK10" i="1"/>
  <c r="CS7" i="1"/>
  <c r="CT5" i="1"/>
  <c r="BO19" i="1"/>
  <c r="Q19" i="4" s="1"/>
  <c r="BZ7" i="1"/>
  <c r="CI10" i="1"/>
  <c r="BY7" i="1"/>
  <c r="CS5" i="1"/>
  <c r="BX10" i="1"/>
  <c r="AC9" i="18"/>
  <c r="AJ9" i="18"/>
  <c r="AJ24" i="18"/>
  <c r="AC24" i="18"/>
  <c r="S48" i="6"/>
  <c r="DA13" i="1"/>
  <c r="CQ13" i="1"/>
  <c r="CT18" i="1"/>
  <c r="L53" i="6"/>
  <c r="E48" i="6"/>
  <c r="CB13" i="1"/>
  <c r="BV13" i="1"/>
  <c r="AX13" i="1"/>
  <c r="E46" i="6"/>
  <c r="AX11" i="1"/>
  <c r="O11" i="4" s="1"/>
  <c r="CB11" i="1"/>
  <c r="BV11" i="1"/>
  <c r="CA11" i="1" s="1"/>
  <c r="V11" i="4" s="1"/>
  <c r="O46" i="6"/>
  <c r="CW11" i="1"/>
  <c r="BO11" i="1"/>
  <c r="Q11" i="4" s="1"/>
  <c r="J41" i="6"/>
  <c r="P53" i="6"/>
  <c r="CX18" i="1"/>
  <c r="CN18" i="1"/>
  <c r="CE10" i="1"/>
  <c r="H45" i="6"/>
  <c r="N48" i="6"/>
  <c r="CL13" i="1"/>
  <c r="CV13" i="1"/>
  <c r="S44" i="6"/>
  <c r="DA9" i="1"/>
  <c r="CQ9" i="1"/>
  <c r="P46" i="6"/>
  <c r="CN11" i="1"/>
  <c r="CX11" i="1"/>
  <c r="O53" i="6"/>
  <c r="CW18" i="1"/>
  <c r="CM18" i="1"/>
  <c r="E45" i="6"/>
  <c r="CB10" i="1"/>
  <c r="AX10" i="1"/>
  <c r="BY11" i="1"/>
  <c r="H46" i="6"/>
  <c r="I41" i="6"/>
  <c r="Q53" i="6"/>
  <c r="CY18" i="1"/>
  <c r="CO18" i="1"/>
  <c r="M50" i="6"/>
  <c r="CK15" i="1"/>
  <c r="G45" i="6"/>
  <c r="CD10" i="1"/>
  <c r="CC13" i="1"/>
  <c r="P44" i="6"/>
  <c r="CX9" i="1"/>
  <c r="K46" i="6"/>
  <c r="CS11" i="1"/>
  <c r="G50" i="6"/>
  <c r="BX15" i="1"/>
  <c r="I45" i="6"/>
  <c r="Q48" i="6"/>
  <c r="CO13" i="1"/>
  <c r="CY13" i="1"/>
  <c r="G44" i="6"/>
  <c r="CD9" i="1"/>
  <c r="BX9" i="1"/>
  <c r="I46" i="6"/>
  <c r="BZ11" i="1"/>
  <c r="CF11" i="1"/>
  <c r="BW11" i="1"/>
  <c r="CC11" i="1"/>
  <c r="F46" i="6"/>
  <c r="P41" i="6"/>
  <c r="BV15" i="1"/>
  <c r="E50" i="6"/>
  <c r="AX15" i="1"/>
  <c r="DG15" i="1" s="1"/>
  <c r="O44" i="6"/>
  <c r="CW9" i="1"/>
  <c r="CM9" i="1"/>
  <c r="BO9" i="1"/>
  <c r="Q9" i="4" s="1"/>
  <c r="CU11" i="1"/>
  <c r="M46" i="6"/>
  <c r="CK11" i="1"/>
  <c r="BZ15" i="1"/>
  <c r="CQ15" i="1"/>
  <c r="BW15" i="1"/>
  <c r="CL15" i="1"/>
  <c r="F45" i="6"/>
  <c r="CC10" i="1"/>
  <c r="P48" i="6"/>
  <c r="CN13" i="1"/>
  <c r="CX13" i="1"/>
  <c r="CN9" i="1"/>
  <c r="BX11" i="1"/>
  <c r="G46" i="6"/>
  <c r="CD11" i="1"/>
  <c r="CH13" i="1"/>
  <c r="BI13" i="1"/>
  <c r="P13" i="4" s="1"/>
  <c r="J48" i="6"/>
  <c r="CR13" i="1"/>
  <c r="BY15" i="1"/>
  <c r="H50" i="6"/>
  <c r="CX10" i="1"/>
  <c r="BO10" i="1"/>
  <c r="Q10" i="4" s="1"/>
  <c r="P45" i="6"/>
  <c r="M48" i="6"/>
  <c r="CK13" i="1"/>
  <c r="CU13" i="1"/>
  <c r="CP11" i="1"/>
  <c r="CZ11" i="1"/>
  <c r="R46" i="6"/>
  <c r="K44" i="6"/>
  <c r="CI9" i="1"/>
  <c r="CS9" i="1"/>
  <c r="AX5" i="1"/>
  <c r="DE5" i="1" s="1"/>
  <c r="CT10" i="1"/>
  <c r="L45" i="6"/>
  <c r="CZ13" i="1"/>
  <c r="CP13" i="1"/>
  <c r="R48" i="6"/>
  <c r="CH11" i="1"/>
  <c r="BI11" i="1"/>
  <c r="P11" i="4" s="1"/>
  <c r="J46" i="6"/>
  <c r="CR11" i="1"/>
  <c r="J53" i="6"/>
  <c r="BI18" i="1"/>
  <c r="P18" i="4"/>
  <c r="CR18" i="1"/>
  <c r="F41" i="6"/>
  <c r="CU10" i="1"/>
  <c r="BX13" i="1"/>
  <c r="G48" i="6"/>
  <c r="CD13" i="1"/>
  <c r="I44" i="6"/>
  <c r="CF9" i="1"/>
  <c r="BZ9" i="1"/>
  <c r="DA11" i="1"/>
  <c r="CQ11" i="1"/>
  <c r="N45" i="6"/>
  <c r="CV10" i="1"/>
  <c r="N44" i="6"/>
  <c r="CV9" i="1"/>
  <c r="CL9" i="1"/>
  <c r="H44" i="6"/>
  <c r="BY9" i="1"/>
  <c r="CE9" i="1"/>
  <c r="CI11" i="1"/>
  <c r="K45" i="6"/>
  <c r="CK5" i="1"/>
  <c r="S40" i="6"/>
  <c r="CJ11" i="1"/>
  <c r="L46" i="6"/>
  <c r="CT11" i="1"/>
  <c r="CO15" i="1"/>
  <c r="BO18" i="1"/>
  <c r="Q18" i="4" s="1"/>
  <c r="L44" i="6"/>
  <c r="CT9" i="1"/>
  <c r="CJ9" i="1"/>
  <c r="CI15" i="1"/>
  <c r="K50" i="6"/>
  <c r="CJ5" i="1"/>
  <c r="J17" i="4"/>
  <c r="D52" i="6"/>
  <c r="DC17" i="1"/>
  <c r="BU17" i="1"/>
  <c r="AW17" i="1"/>
  <c r="BJ17" i="1"/>
  <c r="BT17" i="1"/>
  <c r="BM17" i="1"/>
  <c r="BK17" i="1"/>
  <c r="BD17" i="1"/>
  <c r="BL17" i="1"/>
  <c r="CY17" i="1" s="1"/>
  <c r="AU17" i="1"/>
  <c r="BX17" i="1" s="1"/>
  <c r="AV17" i="1"/>
  <c r="AT17" i="1"/>
  <c r="BW17" i="1" s="1"/>
  <c r="BH17" i="1"/>
  <c r="CV17" i="1" s="1"/>
  <c r="AS17" i="1"/>
  <c r="BF17" i="1"/>
  <c r="BN17" i="1"/>
  <c r="BG17" i="1"/>
  <c r="M52" i="6" s="1"/>
  <c r="BE17" i="1"/>
  <c r="BI17" i="1" s="1"/>
  <c r="P17" i="4" s="1"/>
  <c r="CS15" i="1"/>
  <c r="O48" i="6"/>
  <c r="CM13" i="1"/>
  <c r="CW13" i="1"/>
  <c r="R45" i="6"/>
  <c r="CZ10" i="1"/>
  <c r="CD5" i="1"/>
  <c r="AX9" i="1"/>
  <c r="CB18" i="1"/>
  <c r="L48" i="6"/>
  <c r="CT13" i="1"/>
  <c r="R44" i="6"/>
  <c r="CP9" i="1"/>
  <c r="CZ9" i="1"/>
  <c r="E53" i="6"/>
  <c r="F53" i="6"/>
  <c r="CC18" i="1"/>
  <c r="CB15" i="1"/>
  <c r="BX5" i="1"/>
  <c r="CP5" i="1"/>
  <c r="DA10" i="1"/>
  <c r="N53" i="6"/>
  <c r="CV18" i="1"/>
  <c r="DA18" i="1"/>
  <c r="H48" i="6"/>
  <c r="BY13" i="1"/>
  <c r="CE13" i="1"/>
  <c r="CY9" i="1"/>
  <c r="CO9" i="1"/>
  <c r="Q44" i="6"/>
  <c r="CU15" i="1"/>
  <c r="DE18" i="1"/>
  <c r="H53" i="6"/>
  <c r="CE18" i="1"/>
  <c r="BY18" i="1"/>
  <c r="CL11" i="1"/>
  <c r="N46" i="6"/>
  <c r="CV11" i="1"/>
  <c r="K48" i="6"/>
  <c r="CI13" i="1"/>
  <c r="CS13" i="1"/>
  <c r="CU9" i="1"/>
  <c r="M44" i="6"/>
  <c r="CK9" i="1"/>
  <c r="BW13" i="1"/>
  <c r="F48" i="6"/>
  <c r="CS18" i="1"/>
  <c r="K53" i="6"/>
  <c r="CI18" i="1"/>
  <c r="CR10" i="1"/>
  <c r="J45" i="6"/>
  <c r="BI10" i="1"/>
  <c r="P10" i="4" s="1"/>
  <c r="I48" i="6"/>
  <c r="BZ13" i="1"/>
  <c r="CF13" i="1"/>
  <c r="CG13" i="1" s="1"/>
  <c r="W13" i="4" s="1"/>
  <c r="Q46" i="6"/>
  <c r="CO11" i="1"/>
  <c r="CY11" i="1"/>
  <c r="CH15" i="1"/>
  <c r="W69" i="5"/>
  <c r="M22" i="6"/>
  <c r="K166" i="1" s="1"/>
  <c r="V69" i="5"/>
  <c r="J22" i="6"/>
  <c r="H166" i="1" s="1"/>
  <c r="N166" i="1" s="1"/>
  <c r="I22" i="6"/>
  <c r="G166" i="1" s="1"/>
  <c r="F124" i="5"/>
  <c r="U63" i="5"/>
  <c r="I21" i="6" s="1"/>
  <c r="G165" i="1" s="1"/>
  <c r="V63" i="5"/>
  <c r="J21" i="6" s="1"/>
  <c r="H165" i="1" s="1"/>
  <c r="N165" i="1" s="1"/>
  <c r="W63" i="5"/>
  <c r="M21" i="6"/>
  <c r="K165" i="1" s="1"/>
  <c r="AQ41" i="1"/>
  <c r="AS51" i="1"/>
  <c r="D7" i="8" s="1"/>
  <c r="AS41" i="1"/>
  <c r="H108" i="18"/>
  <c r="AK9" i="18" s="1"/>
  <c r="H43" i="6"/>
  <c r="R43" i="6"/>
  <c r="CP8" i="1"/>
  <c r="CZ8" i="1"/>
  <c r="G43" i="6"/>
  <c r="CD8" i="1"/>
  <c r="BX8" i="1"/>
  <c r="Q43" i="6"/>
  <c r="CO8" i="1"/>
  <c r="CY8" i="1"/>
  <c r="BO49" i="1"/>
  <c r="AX77" i="1" s="1"/>
  <c r="I29" i="8"/>
  <c r="S43" i="6"/>
  <c r="CQ8" i="1"/>
  <c r="DA8" i="1"/>
  <c r="E43" i="6"/>
  <c r="BV8" i="1"/>
  <c r="CB8" i="1"/>
  <c r="CH8" i="1"/>
  <c r="J43" i="6"/>
  <c r="CR8" i="1"/>
  <c r="K43" i="6"/>
  <c r="CS8" i="1"/>
  <c r="CJ8" i="1"/>
  <c r="L43" i="6"/>
  <c r="CM8" i="1"/>
  <c r="BO8" i="1"/>
  <c r="Q8" i="4" s="1"/>
  <c r="CW8" i="1"/>
  <c r="O43" i="6"/>
  <c r="CK8" i="1"/>
  <c r="M43" i="6"/>
  <c r="CL8" i="1"/>
  <c r="N43" i="6"/>
  <c r="CV8" i="1"/>
  <c r="BZ8" i="1"/>
  <c r="CF8" i="1"/>
  <c r="AD105" i="11"/>
  <c r="AB105" i="11" s="1"/>
  <c r="AI105" i="11"/>
  <c r="AJ105" i="11"/>
  <c r="AK105" i="11" s="1"/>
  <c r="AL105" i="11" s="1"/>
  <c r="AD31" i="11"/>
  <c r="AB31" i="11" s="1"/>
  <c r="AI9" i="11"/>
  <c r="AJ9" i="11" s="1"/>
  <c r="AK9" i="11" s="1"/>
  <c r="AI20" i="11"/>
  <c r="AJ20" i="11"/>
  <c r="AK20" i="11" s="1"/>
  <c r="AL20" i="11" s="1"/>
  <c r="AD45" i="11"/>
  <c r="AB45" i="11"/>
  <c r="AI45" i="11"/>
  <c r="AJ45" i="11" s="1"/>
  <c r="AK45" i="11" s="1"/>
  <c r="AL45" i="11" s="1"/>
  <c r="AC10" i="18"/>
  <c r="AI165" i="1"/>
  <c r="AC15" i="18"/>
  <c r="AJ15" i="18"/>
  <c r="AC11" i="18"/>
  <c r="AI161" i="1"/>
  <c r="AC19" i="18"/>
  <c r="AI163" i="1"/>
  <c r="AC13" i="18"/>
  <c r="T32" i="4"/>
  <c r="DG12" i="1"/>
  <c r="O7" i="4"/>
  <c r="DE7" i="1"/>
  <c r="DG18" i="1"/>
  <c r="CQ17" i="1"/>
  <c r="CG15" i="1"/>
  <c r="W15" i="4" s="1"/>
  <c r="DG5" i="1"/>
  <c r="V19" i="4"/>
  <c r="CA10" i="1"/>
  <c r="V10" i="4" s="1"/>
  <c r="CG7" i="1"/>
  <c r="W7" i="4" s="1"/>
  <c r="DG9" i="1"/>
  <c r="CH17" i="1"/>
  <c r="J52" i="6"/>
  <c r="I52" i="6"/>
  <c r="CF17" i="1"/>
  <c r="BZ17" i="1"/>
  <c r="CM17" i="1"/>
  <c r="CW17" i="1"/>
  <c r="CG11" i="1"/>
  <c r="W11" i="4" s="1"/>
  <c r="P52" i="6"/>
  <c r="CN17" i="1"/>
  <c r="DG13" i="1"/>
  <c r="DE13" i="1"/>
  <c r="O13" i="4"/>
  <c r="S52" i="6"/>
  <c r="CS17" i="1"/>
  <c r="CI17" i="1"/>
  <c r="CT17" i="1"/>
  <c r="L52" i="6"/>
  <c r="CJ17" i="1"/>
  <c r="E52" i="6"/>
  <c r="CB17" i="1"/>
  <c r="BV17" i="1"/>
  <c r="CA15" i="1"/>
  <c r="V15" i="4" s="1"/>
  <c r="CL17" i="1"/>
  <c r="N52" i="6"/>
  <c r="CC17" i="1"/>
  <c r="CZ17" i="1"/>
  <c r="R52" i="6"/>
  <c r="CP17" i="1"/>
  <c r="CD17" i="1"/>
  <c r="G52" i="6"/>
  <c r="O10" i="4"/>
  <c r="DE10" i="1"/>
  <c r="DG10" i="1"/>
  <c r="Q52" i="6"/>
  <c r="CO17" i="1"/>
  <c r="AA9" i="11"/>
  <c r="G33" i="4"/>
  <c r="H33" i="4"/>
  <c r="O6" i="6"/>
  <c r="G34" i="4"/>
  <c r="F2" i="7" s="1"/>
  <c r="AN20" i="1"/>
  <c r="I8" i="9" l="1"/>
  <c r="E12" i="18"/>
  <c r="E34" i="10"/>
  <c r="I7" i="9"/>
  <c r="E11" i="18"/>
  <c r="E33" i="10"/>
  <c r="E21" i="18"/>
  <c r="I17" i="9"/>
  <c r="E43" i="10"/>
  <c r="L26" i="9"/>
  <c r="AH28" i="18" s="1"/>
  <c r="I16" i="9"/>
  <c r="E42" i="10"/>
  <c r="E20" i="18"/>
  <c r="E19" i="18"/>
  <c r="E41" i="10"/>
  <c r="I15" i="9"/>
  <c r="E46" i="10"/>
  <c r="E24" i="18"/>
  <c r="I20" i="9"/>
  <c r="E18" i="18"/>
  <c r="E40" i="10"/>
  <c r="I14" i="9"/>
  <c r="AI14" i="9" s="1"/>
  <c r="E50" i="10"/>
  <c r="E28" i="18"/>
  <c r="I24" i="9"/>
  <c r="E17" i="18"/>
  <c r="I13" i="9"/>
  <c r="E39" i="10"/>
  <c r="E27" i="18"/>
  <c r="I23" i="9"/>
  <c r="E49" i="10"/>
  <c r="I12" i="9"/>
  <c r="E38" i="10"/>
  <c r="E16" i="18"/>
  <c r="E26" i="18"/>
  <c r="E48" i="10"/>
  <c r="I22" i="9"/>
  <c r="AI11" i="9"/>
  <c r="F37" i="10"/>
  <c r="E10" i="18"/>
  <c r="I6" i="9"/>
  <c r="E32" i="10"/>
  <c r="F36" i="10"/>
  <c r="AI10" i="9"/>
  <c r="E35" i="10"/>
  <c r="E13" i="18"/>
  <c r="I9" i="9"/>
  <c r="I21" i="9"/>
  <c r="E9" i="18"/>
  <c r="V19" i="9"/>
  <c r="U27" i="9" s="1"/>
  <c r="I18" i="9"/>
  <c r="F31" i="10"/>
  <c r="E14" i="18"/>
  <c r="E44" i="10"/>
  <c r="E36" i="10"/>
  <c r="AK17" i="18"/>
  <c r="CA5" i="1"/>
  <c r="F52" i="6"/>
  <c r="AJ10" i="18"/>
  <c r="BY17" i="1"/>
  <c r="CA17" i="1" s="1"/>
  <c r="V17" i="4" s="1"/>
  <c r="CE17" i="1"/>
  <c r="AD33" i="11"/>
  <c r="AB33" i="11" s="1"/>
  <c r="AI33" i="11"/>
  <c r="AJ33" i="11" s="1"/>
  <c r="AK33" i="11" s="1"/>
  <c r="AL33" i="11" s="1"/>
  <c r="AI71" i="11"/>
  <c r="AJ71" i="11" s="1"/>
  <c r="AK71" i="11" s="1"/>
  <c r="AL71" i="11" s="1"/>
  <c r="AD71" i="11"/>
  <c r="AB71" i="11" s="1"/>
  <c r="AN21" i="1"/>
  <c r="H34" i="4" s="1"/>
  <c r="AT51" i="1"/>
  <c r="E7" i="8" s="1"/>
  <c r="DE14" i="1"/>
  <c r="DG14" i="1"/>
  <c r="O14" i="4"/>
  <c r="AD57" i="11"/>
  <c r="AB57" i="11" s="1"/>
  <c r="F43" i="6"/>
  <c r="CC8" i="1"/>
  <c r="CG8" i="1" s="1"/>
  <c r="W8" i="4" s="1"/>
  <c r="BW8" i="1"/>
  <c r="CA8" i="1" s="1"/>
  <c r="V8" i="4" s="1"/>
  <c r="AX8" i="1"/>
  <c r="AI16" i="11"/>
  <c r="AJ16" i="11" s="1"/>
  <c r="AK16" i="11" s="1"/>
  <c r="AL16" i="11" s="1"/>
  <c r="AD16" i="11"/>
  <c r="AB16" i="11" s="1"/>
  <c r="F15" i="10"/>
  <c r="F24" i="10" s="1"/>
  <c r="AX17" i="1"/>
  <c r="CA12" i="1"/>
  <c r="V12" i="4" s="1"/>
  <c r="H52" i="6"/>
  <c r="CG17" i="1"/>
  <c r="W17" i="4" s="1"/>
  <c r="AL9" i="11"/>
  <c r="AD44" i="11"/>
  <c r="AB44" i="11" s="1"/>
  <c r="AI44" i="11"/>
  <c r="AJ44" i="11" s="1"/>
  <c r="AK44" i="11" s="1"/>
  <c r="AL44" i="11" s="1"/>
  <c r="AI37" i="11"/>
  <c r="AJ37" i="11" s="1"/>
  <c r="AK37" i="11" s="1"/>
  <c r="AL37" i="11" s="1"/>
  <c r="L108" i="18"/>
  <c r="AS42" i="1"/>
  <c r="E27" i="5"/>
  <c r="AS43" i="1" s="1"/>
  <c r="AS62" i="1" s="1"/>
  <c r="Z115" i="11"/>
  <c r="AX115" i="11"/>
  <c r="AY115" i="11" s="1"/>
  <c r="AE115" i="11" s="1"/>
  <c r="AD13" i="11"/>
  <c r="AB13" i="11" s="1"/>
  <c r="BO81" i="11"/>
  <c r="AG81" i="11" s="1"/>
  <c r="AI81" i="11" s="1"/>
  <c r="AJ81" i="11" s="1"/>
  <c r="AK81" i="11" s="1"/>
  <c r="AL81" i="11" s="1"/>
  <c r="AD23" i="11"/>
  <c r="AB23" i="11" s="1"/>
  <c r="AI23" i="11"/>
  <c r="AJ23" i="11" s="1"/>
  <c r="AK23" i="11" s="1"/>
  <c r="AL23" i="11" s="1"/>
  <c r="AI162" i="1"/>
  <c r="AC12" i="18"/>
  <c r="AJ12" i="18"/>
  <c r="DE19" i="1"/>
  <c r="CN8" i="1"/>
  <c r="CX8" i="1"/>
  <c r="P43" i="6"/>
  <c r="F40" i="6"/>
  <c r="CC5" i="1"/>
  <c r="L46" i="18"/>
  <c r="L55" i="18"/>
  <c r="L43" i="18"/>
  <c r="L48" i="18"/>
  <c r="L54" i="18"/>
  <c r="L42" i="18"/>
  <c r="L50" i="18"/>
  <c r="L57" i="18"/>
  <c r="L39" i="18"/>
  <c r="L53" i="18"/>
  <c r="L44" i="18"/>
  <c r="L38" i="18"/>
  <c r="L56" i="18"/>
  <c r="L51" i="18"/>
  <c r="L49" i="18"/>
  <c r="L58" i="18"/>
  <c r="L41" i="18"/>
  <c r="L47" i="18"/>
  <c r="L45" i="18"/>
  <c r="AI10" i="11"/>
  <c r="AJ10" i="11" s="1"/>
  <c r="AK10" i="11" s="1"/>
  <c r="AL10" i="11" s="1"/>
  <c r="AD10" i="11"/>
  <c r="AB10" i="11" s="1"/>
  <c r="DA16" i="1"/>
  <c r="P35" i="18"/>
  <c r="P82" i="18"/>
  <c r="AB18" i="18" s="1"/>
  <c r="AA13" i="18"/>
  <c r="AG163" i="1"/>
  <c r="AF163" i="1"/>
  <c r="AH163" i="1"/>
  <c r="AI169" i="1"/>
  <c r="AJ19" i="18"/>
  <c r="I6" i="8"/>
  <c r="AD43" i="11"/>
  <c r="AB43" i="11" s="1"/>
  <c r="AI43" i="11"/>
  <c r="AJ43" i="11" s="1"/>
  <c r="AK43" i="11" s="1"/>
  <c r="AL43" i="11" s="1"/>
  <c r="AI36" i="11"/>
  <c r="AJ36" i="11" s="1"/>
  <c r="AK36" i="11" s="1"/>
  <c r="AL36" i="11" s="1"/>
  <c r="AD36" i="11"/>
  <c r="AB36" i="11" s="1"/>
  <c r="R47" i="18"/>
  <c r="R50" i="18"/>
  <c r="R51" i="18"/>
  <c r="R40" i="18"/>
  <c r="R38" i="18"/>
  <c r="R54" i="18"/>
  <c r="R58" i="18"/>
  <c r="R46" i="18"/>
  <c r="R53" i="18"/>
  <c r="R44" i="18"/>
  <c r="R56" i="18"/>
  <c r="R55" i="18"/>
  <c r="R57" i="18"/>
  <c r="R41" i="18"/>
  <c r="R48" i="18"/>
  <c r="R49" i="18"/>
  <c r="R42" i="18"/>
  <c r="R45" i="18"/>
  <c r="R43" i="18"/>
  <c r="U76" i="5"/>
  <c r="U81" i="5" s="1"/>
  <c r="I24" i="6" s="1"/>
  <c r="G168" i="1" s="1"/>
  <c r="V76" i="5"/>
  <c r="V81" i="5" s="1"/>
  <c r="J24" i="6" s="1"/>
  <c r="H168" i="1" s="1"/>
  <c r="N168" i="1" s="1"/>
  <c r="K76" i="5"/>
  <c r="W76" i="5"/>
  <c r="W81" i="5" s="1"/>
  <c r="M24" i="6" s="1"/>
  <c r="K168" i="1" s="1"/>
  <c r="K52" i="6"/>
  <c r="AD84" i="11"/>
  <c r="AB84" i="11" s="1"/>
  <c r="AI84" i="11"/>
  <c r="AJ84" i="11" s="1"/>
  <c r="AK84" i="11" s="1"/>
  <c r="AL84" i="11" s="1"/>
  <c r="AI24" i="9"/>
  <c r="F50" i="10"/>
  <c r="DE15" i="1"/>
  <c r="DE11" i="1"/>
  <c r="O5" i="4"/>
  <c r="AI80" i="11"/>
  <c r="AJ80" i="11" s="1"/>
  <c r="AK80" i="11" s="1"/>
  <c r="AL80" i="11" s="1"/>
  <c r="AD80" i="11"/>
  <c r="AB80" i="11" s="1"/>
  <c r="CU17" i="1"/>
  <c r="O15" i="4"/>
  <c r="DG11" i="1"/>
  <c r="O9" i="4"/>
  <c r="DE9" i="1"/>
  <c r="R39" i="18"/>
  <c r="AI110" i="11"/>
  <c r="AJ110" i="11" s="1"/>
  <c r="AK110" i="11" s="1"/>
  <c r="AL110" i="11" s="1"/>
  <c r="AD110" i="11"/>
  <c r="AB110" i="11" s="1"/>
  <c r="Q58" i="18"/>
  <c r="Q55" i="18"/>
  <c r="Q46" i="18"/>
  <c r="Q51" i="18"/>
  <c r="Q53" i="18"/>
  <c r="Q38" i="18"/>
  <c r="Q40" i="18"/>
  <c r="CK17" i="1"/>
  <c r="O52" i="6"/>
  <c r="BO17" i="1"/>
  <c r="Q17" i="4" s="1"/>
  <c r="BI8" i="1"/>
  <c r="P8" i="4" s="1"/>
  <c r="CT8" i="1"/>
  <c r="E44" i="6"/>
  <c r="BV9" i="1"/>
  <c r="CA9" i="1" s="1"/>
  <c r="V9" i="4" s="1"/>
  <c r="CB9" i="1"/>
  <c r="CG9" i="1" s="1"/>
  <c r="W9" i="4" s="1"/>
  <c r="CA13" i="1"/>
  <c r="V13" i="4" s="1"/>
  <c r="AD96" i="11"/>
  <c r="AB96" i="11" s="1"/>
  <c r="AC17" i="18"/>
  <c r="AI167" i="1"/>
  <c r="AJ17" i="18"/>
  <c r="BO13" i="1"/>
  <c r="Q13" i="4" s="1"/>
  <c r="CR17" i="1"/>
  <c r="CX17" i="1"/>
  <c r="DA17" i="1"/>
  <c r="CG19" i="1"/>
  <c r="W19" i="4" s="1"/>
  <c r="G53" i="6"/>
  <c r="CD18" i="1"/>
  <c r="CG18" i="1" s="1"/>
  <c r="W18" i="4" s="1"/>
  <c r="BX18" i="1"/>
  <c r="CP16" i="1"/>
  <c r="AD111" i="11"/>
  <c r="AB111" i="11" s="1"/>
  <c r="AI111" i="11"/>
  <c r="AJ111" i="11" s="1"/>
  <c r="AK111" i="11" s="1"/>
  <c r="AL111" i="11" s="1"/>
  <c r="AD54" i="11"/>
  <c r="AB54" i="11" s="1"/>
  <c r="U91" i="18"/>
  <c r="U106" i="18"/>
  <c r="U93" i="18"/>
  <c r="U89" i="18"/>
  <c r="U108" i="18" s="1"/>
  <c r="AK24" i="18" s="1"/>
  <c r="U96" i="18"/>
  <c r="U102" i="18"/>
  <c r="U88" i="18"/>
  <c r="U97" i="18"/>
  <c r="U90" i="18"/>
  <c r="U107" i="18"/>
  <c r="U103" i="18"/>
  <c r="AW114" i="11"/>
  <c r="AY114" i="11" s="1"/>
  <c r="AE114" i="11" s="1"/>
  <c r="U114" i="11"/>
  <c r="J121" i="5"/>
  <c r="O121" i="5"/>
  <c r="AA11" i="18"/>
  <c r="AF161" i="1"/>
  <c r="AG161" i="1"/>
  <c r="AH161" i="1"/>
  <c r="AI7" i="9"/>
  <c r="F33" i="10"/>
  <c r="J87" i="18"/>
  <c r="J94" i="18"/>
  <c r="J96" i="18"/>
  <c r="J89" i="18"/>
  <c r="J102" i="18"/>
  <c r="J92" i="18"/>
  <c r="J105" i="18"/>
  <c r="S53" i="18"/>
  <c r="S41" i="18"/>
  <c r="S43" i="18"/>
  <c r="S51" i="18"/>
  <c r="S54" i="18"/>
  <c r="S45" i="18"/>
  <c r="S47" i="18"/>
  <c r="S57" i="18"/>
  <c r="S46" i="18"/>
  <c r="S42" i="18"/>
  <c r="S44" i="18"/>
  <c r="S39" i="18"/>
  <c r="S48" i="18"/>
  <c r="S56" i="18"/>
  <c r="V70" i="5"/>
  <c r="V75" i="5" s="1"/>
  <c r="J23" i="6" s="1"/>
  <c r="H167" i="1" s="1"/>
  <c r="N167" i="1" s="1"/>
  <c r="D25" i="5"/>
  <c r="W70" i="5"/>
  <c r="W75" i="5" s="1"/>
  <c r="M23" i="6" s="1"/>
  <c r="K167" i="1" s="1"/>
  <c r="M121" i="5"/>
  <c r="K70" i="5"/>
  <c r="D124" i="5" s="1"/>
  <c r="U70" i="5"/>
  <c r="U75" i="5" s="1"/>
  <c r="I23" i="6" s="1"/>
  <c r="G167" i="1" s="1"/>
  <c r="BJ88" i="11"/>
  <c r="AF88" i="11" s="1"/>
  <c r="AV51" i="11"/>
  <c r="AY51" i="11" s="1"/>
  <c r="AE51" i="11" s="1"/>
  <c r="P51" i="11"/>
  <c r="K105" i="18"/>
  <c r="K106" i="18"/>
  <c r="K107" i="18"/>
  <c r="K97" i="18"/>
  <c r="K88" i="18"/>
  <c r="K96" i="18"/>
  <c r="K93" i="18"/>
  <c r="AW16" i="1"/>
  <c r="DC16" i="1"/>
  <c r="BG16" i="1"/>
  <c r="BD16" i="1"/>
  <c r="BK16" i="1"/>
  <c r="BH16" i="1"/>
  <c r="BU16" i="1"/>
  <c r="CZ16" i="1" s="1"/>
  <c r="BF16" i="1"/>
  <c r="AT16" i="1"/>
  <c r="BT16" i="1"/>
  <c r="CQ16" i="1" s="1"/>
  <c r="AU16" i="1"/>
  <c r="BJ16" i="1"/>
  <c r="BE16" i="1"/>
  <c r="J16" i="4"/>
  <c r="AS16" i="1"/>
  <c r="D51" i="6"/>
  <c r="AV16" i="1"/>
  <c r="BL16" i="1"/>
  <c r="AV52" i="11"/>
  <c r="AY52" i="11" s="1"/>
  <c r="AE52" i="11" s="1"/>
  <c r="P52" i="11"/>
  <c r="S105" i="18"/>
  <c r="S93" i="18"/>
  <c r="S96" i="18"/>
  <c r="S90" i="18"/>
  <c r="S104" i="18"/>
  <c r="S87" i="18"/>
  <c r="S98" i="18"/>
  <c r="S92" i="18"/>
  <c r="S106" i="18"/>
  <c r="S102" i="18"/>
  <c r="S95" i="18"/>
  <c r="S107" i="18"/>
  <c r="S100" i="18"/>
  <c r="S91" i="18"/>
  <c r="O226" i="1"/>
  <c r="BJ117" i="11"/>
  <c r="AF117" i="11" s="1"/>
  <c r="U53" i="11"/>
  <c r="AW53" i="11"/>
  <c r="AY53" i="11" s="1"/>
  <c r="AE53" i="11" s="1"/>
  <c r="AW60" i="11"/>
  <c r="AY60" i="11" s="1"/>
  <c r="AE60" i="11" s="1"/>
  <c r="U60" i="11"/>
  <c r="AI56" i="11"/>
  <c r="AJ56" i="11" s="1"/>
  <c r="AK56" i="11" s="1"/>
  <c r="AL56" i="11" s="1"/>
  <c r="F105" i="15"/>
  <c r="G105" i="15" s="1"/>
  <c r="BW18" i="1"/>
  <c r="CY10" i="1"/>
  <c r="J44" i="6"/>
  <c r="CF10" i="1"/>
  <c r="CG10" i="1" s="1"/>
  <c r="W10" i="4" s="1"/>
  <c r="K98" i="18"/>
  <c r="S38" i="18"/>
  <c r="AD86" i="11"/>
  <c r="AB86" i="11" s="1"/>
  <c r="DB20" i="1"/>
  <c r="F47" i="6"/>
  <c r="CC12" i="1"/>
  <c r="CG12" i="1" s="1"/>
  <c r="W12" i="4" s="1"/>
  <c r="V82" i="18"/>
  <c r="AB25" i="18" s="1"/>
  <c r="V35" i="18"/>
  <c r="N82" i="18"/>
  <c r="AB16" i="18" s="1"/>
  <c r="N35" i="18"/>
  <c r="BV18" i="1"/>
  <c r="BI9" i="1"/>
  <c r="P9" i="4" s="1"/>
  <c r="K95" i="18"/>
  <c r="S55" i="18"/>
  <c r="AD9" i="11"/>
  <c r="AB9" i="11" s="1"/>
  <c r="AA25" i="18"/>
  <c r="V33" i="18" s="1"/>
  <c r="AG175" i="1"/>
  <c r="AF175" i="1"/>
  <c r="AH175" i="1"/>
  <c r="AG20" i="18"/>
  <c r="R86" i="18" s="1"/>
  <c r="AG170" i="1"/>
  <c r="CH9" i="1"/>
  <c r="CP18" i="1"/>
  <c r="CL5" i="1"/>
  <c r="CW10" i="1"/>
  <c r="K100" i="18"/>
  <c r="S94" i="18"/>
  <c r="BT6" i="1"/>
  <c r="BL6" i="1"/>
  <c r="D41" i="6"/>
  <c r="BE6" i="1"/>
  <c r="AV6" i="1"/>
  <c r="AU6" i="1"/>
  <c r="AS6" i="1"/>
  <c r="BF6" i="1"/>
  <c r="BJ6" i="1"/>
  <c r="BG6" i="1"/>
  <c r="BH6" i="1"/>
  <c r="BN6" i="1"/>
  <c r="BM6" i="1"/>
  <c r="BU6" i="1"/>
  <c r="X82" i="18"/>
  <c r="AB27" i="18" s="1"/>
  <c r="X35" i="18"/>
  <c r="R35" i="18"/>
  <c r="R82" i="18"/>
  <c r="AB20" i="18" s="1"/>
  <c r="S82" i="18"/>
  <c r="AB21" i="18" s="1"/>
  <c r="W82" i="18"/>
  <c r="AB26" i="18" s="1"/>
  <c r="W35" i="18"/>
  <c r="CK14" i="1"/>
  <c r="CU14" i="1"/>
  <c r="M49" i="6"/>
  <c r="W48" i="18"/>
  <c r="W40" i="18"/>
  <c r="W54" i="18"/>
  <c r="W41" i="18"/>
  <c r="W55" i="18"/>
  <c r="W53" i="18"/>
  <c r="W57" i="18"/>
  <c r="W39" i="18"/>
  <c r="W56" i="18"/>
  <c r="W43" i="18"/>
  <c r="W45" i="18"/>
  <c r="W58" i="18"/>
  <c r="W38" i="18"/>
  <c r="W46" i="18"/>
  <c r="W49" i="18"/>
  <c r="W44" i="18"/>
  <c r="W42" i="18"/>
  <c r="W50" i="18"/>
  <c r="W47" i="18"/>
  <c r="AT112" i="11"/>
  <c r="AY112" i="11" s="1"/>
  <c r="AE112" i="11" s="1"/>
  <c r="G112" i="11"/>
  <c r="AV88" i="11"/>
  <c r="AY88" i="11" s="1"/>
  <c r="AE88" i="11" s="1"/>
  <c r="P88" i="11"/>
  <c r="AI55" i="11"/>
  <c r="AJ55" i="11" s="1"/>
  <c r="AK55" i="11" s="1"/>
  <c r="AL55" i="11" s="1"/>
  <c r="AD21" i="11"/>
  <c r="AB21" i="11" s="1"/>
  <c r="I25" i="4"/>
  <c r="L27" i="4"/>
  <c r="BJ49" i="1"/>
  <c r="AI62" i="11"/>
  <c r="AJ62" i="11" s="1"/>
  <c r="AK62" i="11" s="1"/>
  <c r="AL62" i="11" s="1"/>
  <c r="AD62" i="11"/>
  <c r="AB62" i="11" s="1"/>
  <c r="H15" i="8"/>
  <c r="AW63" i="1"/>
  <c r="AW65" i="1"/>
  <c r="AH167" i="1"/>
  <c r="AH17" i="18"/>
  <c r="BY8" i="1"/>
  <c r="CJ18" i="1"/>
  <c r="BZ18" i="1"/>
  <c r="H121" i="5"/>
  <c r="AD74" i="11"/>
  <c r="AB74" i="11" s="1"/>
  <c r="CL18" i="1"/>
  <c r="CH18" i="1"/>
  <c r="T82" i="18"/>
  <c r="AB22" i="18" s="1"/>
  <c r="AD32" i="11"/>
  <c r="AB32" i="11" s="1"/>
  <c r="AI59" i="11"/>
  <c r="AJ59" i="11" s="1"/>
  <c r="AK59" i="11" s="1"/>
  <c r="AL59" i="11" s="1"/>
  <c r="F162" i="1"/>
  <c r="BF46" i="1"/>
  <c r="BI46" i="1" s="1"/>
  <c r="I26" i="4" s="1"/>
  <c r="AH177" i="1"/>
  <c r="AH27" i="18"/>
  <c r="AG18" i="18"/>
  <c r="P86" i="18" s="1"/>
  <c r="AG168" i="1"/>
  <c r="X38" i="18"/>
  <c r="X40" i="18"/>
  <c r="X45" i="18"/>
  <c r="X48" i="18"/>
  <c r="X54" i="18"/>
  <c r="X46" i="18"/>
  <c r="X55" i="18"/>
  <c r="X50" i="18"/>
  <c r="X43" i="18"/>
  <c r="X41" i="18"/>
  <c r="X39" i="18"/>
  <c r="X49" i="18"/>
  <c r="X53" i="18"/>
  <c r="X56" i="18"/>
  <c r="X47" i="18"/>
  <c r="AT87" i="11"/>
  <c r="AY87" i="11" s="1"/>
  <c r="AE87" i="11" s="1"/>
  <c r="G87" i="11"/>
  <c r="AV83" i="11"/>
  <c r="P83" i="11"/>
  <c r="AY34" i="11"/>
  <c r="AE34" i="11" s="1"/>
  <c r="AG165" i="1"/>
  <c r="AY41" i="11"/>
  <c r="AE41" i="11" s="1"/>
  <c r="AU118" i="11"/>
  <c r="AY118" i="11" s="1"/>
  <c r="AE118" i="11" s="1"/>
  <c r="K118" i="11"/>
  <c r="BE86" i="11"/>
  <c r="AH86" i="11" s="1"/>
  <c r="AI86" i="11" s="1"/>
  <c r="AJ86" i="11" s="1"/>
  <c r="AK86" i="11" s="1"/>
  <c r="AL86" i="11" s="1"/>
  <c r="AY77" i="11"/>
  <c r="AE77" i="11" s="1"/>
  <c r="G99" i="15"/>
  <c r="BE116" i="11"/>
  <c r="AH116" i="11" s="1"/>
  <c r="AI116" i="11" s="1"/>
  <c r="AJ116" i="11" s="1"/>
  <c r="AK116" i="11" s="1"/>
  <c r="AL116" i="11" s="1"/>
  <c r="Z93" i="11"/>
  <c r="AX93" i="11"/>
  <c r="AY93" i="11" s="1"/>
  <c r="AE93" i="11" s="1"/>
  <c r="K92" i="11"/>
  <c r="AU92" i="11"/>
  <c r="AX89" i="11"/>
  <c r="AY89" i="11" s="1"/>
  <c r="AE89" i="11" s="1"/>
  <c r="Z89" i="11"/>
  <c r="AY78" i="11"/>
  <c r="AE78" i="11" s="1"/>
  <c r="Z11" i="11"/>
  <c r="AX11" i="11"/>
  <c r="AY11" i="11" s="1"/>
  <c r="AE11" i="11" s="1"/>
  <c r="AT92" i="11"/>
  <c r="G92" i="11"/>
  <c r="AG10" i="18"/>
  <c r="I86" i="18" s="1"/>
  <c r="AI10" i="18"/>
  <c r="AE10" i="18"/>
  <c r="AF10" i="18"/>
  <c r="I34" i="18" s="1"/>
  <c r="V160" i="1"/>
  <c r="V58" i="18"/>
  <c r="V47" i="18"/>
  <c r="V53" i="18"/>
  <c r="V45" i="18"/>
  <c r="V55" i="18"/>
  <c r="V49" i="18"/>
  <c r="V54" i="18"/>
  <c r="V39" i="18"/>
  <c r="V38" i="18"/>
  <c r="V57" i="18"/>
  <c r="V40" i="18"/>
  <c r="V43" i="18"/>
  <c r="V46" i="18"/>
  <c r="V48" i="18"/>
  <c r="AU97" i="11"/>
  <c r="AY97" i="11" s="1"/>
  <c r="AE97" i="11" s="1"/>
  <c r="AU25" i="11"/>
  <c r="AY25" i="11" s="1"/>
  <c r="AE25" i="11" s="1"/>
  <c r="K25" i="11"/>
  <c r="BE21" i="11"/>
  <c r="AH21" i="11" s="1"/>
  <c r="AI21" i="11" s="1"/>
  <c r="AJ21" i="11" s="1"/>
  <c r="AK21" i="11" s="1"/>
  <c r="AL21" i="11" s="1"/>
  <c r="BE13" i="11"/>
  <c r="AH13" i="11" s="1"/>
  <c r="AI13" i="11" s="1"/>
  <c r="AJ13" i="11" s="1"/>
  <c r="AK13" i="11" s="1"/>
  <c r="AL13" i="11" s="1"/>
  <c r="O168" i="1"/>
  <c r="P168" i="1"/>
  <c r="U93" i="5"/>
  <c r="I27" i="6" s="1"/>
  <c r="G171" i="1" s="1"/>
  <c r="BL44" i="1"/>
  <c r="BN44" i="1" s="1"/>
  <c r="G160" i="1"/>
  <c r="AG26" i="18"/>
  <c r="W86" i="18" s="1"/>
  <c r="AG176" i="1"/>
  <c r="AY61" i="11"/>
  <c r="AE61" i="11" s="1"/>
  <c r="AY28" i="11"/>
  <c r="AE28" i="11" s="1"/>
  <c r="BE22" i="11"/>
  <c r="AH22" i="11" s="1"/>
  <c r="AY19" i="11"/>
  <c r="AE19" i="11" s="1"/>
  <c r="BE14" i="11"/>
  <c r="AH14" i="11" s="1"/>
  <c r="AI14" i="11" s="1"/>
  <c r="AJ14" i="11" s="1"/>
  <c r="AK14" i="11" s="1"/>
  <c r="AL14" i="11" s="1"/>
  <c r="O170" i="1"/>
  <c r="P170" i="1"/>
  <c r="BO19" i="11"/>
  <c r="AG19" i="11" s="1"/>
  <c r="AT102" i="11"/>
  <c r="AY102" i="11" s="1"/>
  <c r="AE102" i="11" s="1"/>
  <c r="G102" i="11"/>
  <c r="AX29" i="11"/>
  <c r="AY29" i="11" s="1"/>
  <c r="AE29" i="11" s="1"/>
  <c r="Z29" i="11"/>
  <c r="O47" i="18"/>
  <c r="O40" i="18"/>
  <c r="X93" i="18"/>
  <c r="X91" i="18"/>
  <c r="X100" i="18"/>
  <c r="X103" i="18"/>
  <c r="X102" i="18"/>
  <c r="X97" i="18"/>
  <c r="X90" i="18"/>
  <c r="X98" i="18"/>
  <c r="X107" i="18"/>
  <c r="X99" i="18"/>
  <c r="X95" i="18"/>
  <c r="X88" i="18"/>
  <c r="U103" i="11"/>
  <c r="AW103" i="11"/>
  <c r="O55" i="18"/>
  <c r="O58" i="18"/>
  <c r="G24" i="4"/>
  <c r="H24" i="4"/>
  <c r="D24" i="4"/>
  <c r="E24" i="4"/>
  <c r="F24" i="4"/>
  <c r="AX69" i="11"/>
  <c r="AY69" i="11" s="1"/>
  <c r="AE69" i="11" s="1"/>
  <c r="Z69" i="11"/>
  <c r="O38" i="18"/>
  <c r="P107" i="11"/>
  <c r="BJ104" i="11"/>
  <c r="AF104" i="11" s="1"/>
  <c r="K75" i="11"/>
  <c r="AU75" i="11"/>
  <c r="AY75" i="11" s="1"/>
  <c r="AE75" i="11" s="1"/>
  <c r="G40" i="11"/>
  <c r="AT40" i="11"/>
  <c r="H103" i="5"/>
  <c r="I103" i="5"/>
  <c r="I121" i="5" s="1"/>
  <c r="J103" i="5"/>
  <c r="U28" i="9"/>
  <c r="O57" i="18"/>
  <c r="J160" i="1"/>
  <c r="P160" i="1" s="1"/>
  <c r="BH44" i="1"/>
  <c r="BK44" i="1" s="1"/>
  <c r="AW108" i="11"/>
  <c r="AY108" i="11" s="1"/>
  <c r="AE108" i="11" s="1"/>
  <c r="U108" i="11"/>
  <c r="P176" i="1"/>
  <c r="O176" i="1"/>
  <c r="N176" i="1"/>
  <c r="O43" i="18"/>
  <c r="AY83" i="11"/>
  <c r="AE83" i="11" s="1"/>
  <c r="J163" i="1"/>
  <c r="P163" i="1" s="1"/>
  <c r="AU72" i="11"/>
  <c r="AY72" i="11" s="1"/>
  <c r="AE72" i="11" s="1"/>
  <c r="K72" i="11"/>
  <c r="BE70" i="11"/>
  <c r="AH70" i="11" s="1"/>
  <c r="BE48" i="11"/>
  <c r="AH48" i="11" s="1"/>
  <c r="AI48" i="11" s="1"/>
  <c r="AJ48" i="11" s="1"/>
  <c r="AK48" i="11" s="1"/>
  <c r="AL48" i="11" s="1"/>
  <c r="N174" i="1"/>
  <c r="P174" i="1"/>
  <c r="AY94" i="11"/>
  <c r="AE94" i="11" s="1"/>
  <c r="V92" i="18"/>
  <c r="V98" i="18"/>
  <c r="V103" i="18"/>
  <c r="V87" i="18"/>
  <c r="V97" i="18"/>
  <c r="V100" i="18"/>
  <c r="V93" i="18"/>
  <c r="V107" i="18"/>
  <c r="V99" i="18"/>
  <c r="V94" i="18"/>
  <c r="V91" i="18"/>
  <c r="V88" i="18"/>
  <c r="V105" i="18"/>
  <c r="V90" i="18"/>
  <c r="AD24" i="18"/>
  <c r="AF24" i="18"/>
  <c r="U34" i="18" s="1"/>
  <c r="AI24" i="18"/>
  <c r="AY99" i="11"/>
  <c r="AE99" i="11" s="1"/>
  <c r="AY50" i="11"/>
  <c r="AE50" i="11" s="1"/>
  <c r="AT46" i="11"/>
  <c r="AY46" i="11" s="1"/>
  <c r="AE46" i="11" s="1"/>
  <c r="G46" i="11"/>
  <c r="AT49" i="11"/>
  <c r="AY49" i="11" s="1"/>
  <c r="AE49" i="11" s="1"/>
  <c r="AU40" i="11"/>
  <c r="K40" i="11"/>
  <c r="AT39" i="11"/>
  <c r="AY39" i="11" s="1"/>
  <c r="AE39" i="11" s="1"/>
  <c r="G94" i="15"/>
  <c r="G126" i="5"/>
  <c r="G26" i="5" s="1"/>
  <c r="AU42" i="1" s="1"/>
  <c r="H28" i="4"/>
  <c r="G103" i="11"/>
  <c r="AT103" i="11"/>
  <c r="AY103" i="11" s="1"/>
  <c r="AE103" i="11" s="1"/>
  <c r="U113" i="11"/>
  <c r="G28" i="4"/>
  <c r="AW34" i="11"/>
  <c r="U34" i="11"/>
  <c r="F28" i="4"/>
  <c r="P102" i="11"/>
  <c r="U111" i="5"/>
  <c r="I29" i="6" s="1"/>
  <c r="G173" i="1" s="1"/>
  <c r="U85" i="5"/>
  <c r="I25" i="6" s="1"/>
  <c r="G169" i="1" s="1"/>
  <c r="V120" i="5"/>
  <c r="J30" i="6" s="1"/>
  <c r="H174" i="1" s="1"/>
  <c r="U94" i="5"/>
  <c r="U102" i="5" s="1"/>
  <c r="I28" i="6" s="1"/>
  <c r="G172" i="1" s="1"/>
  <c r="W94" i="5"/>
  <c r="V94" i="5"/>
  <c r="K94" i="5"/>
  <c r="D125" i="5" s="1"/>
  <c r="V89" i="5"/>
  <c r="J26" i="6" s="1"/>
  <c r="H170" i="1" s="1"/>
  <c r="N170" i="1" s="1"/>
  <c r="AB34" i="6"/>
  <c r="C18" i="6" s="1"/>
  <c r="AD34" i="6"/>
  <c r="E18" i="6" s="1"/>
  <c r="G59" i="11"/>
  <c r="G14" i="15"/>
  <c r="N8" i="7"/>
  <c r="O8" i="7" s="1"/>
  <c r="H25" i="5"/>
  <c r="V101" i="5"/>
  <c r="C28" i="6"/>
  <c r="W101" i="5"/>
  <c r="BN24" i="11"/>
  <c r="BO24" i="11" s="1"/>
  <c r="AG24" i="11" s="1"/>
  <c r="W87" i="5"/>
  <c r="W89" i="5" s="1"/>
  <c r="M26" i="6" s="1"/>
  <c r="K170" i="1" s="1"/>
  <c r="V83" i="5"/>
  <c r="V85" i="5" s="1"/>
  <c r="J25" i="6" s="1"/>
  <c r="H169" i="1" s="1"/>
  <c r="N169" i="1" s="1"/>
  <c r="N10" i="7"/>
  <c r="O10" i="7" s="1"/>
  <c r="U108" i="5"/>
  <c r="V92" i="5"/>
  <c r="V93" i="5" s="1"/>
  <c r="J27" i="6" s="1"/>
  <c r="H171" i="1" s="1"/>
  <c r="N171" i="1" s="1"/>
  <c r="N7" i="7"/>
  <c r="O7" i="7" s="1"/>
  <c r="K101" i="5"/>
  <c r="F125" i="5" s="1"/>
  <c r="AT53" i="1" s="1"/>
  <c r="E9" i="8" s="1"/>
  <c r="K83" i="5"/>
  <c r="C124" i="5" s="1"/>
  <c r="G10" i="15"/>
  <c r="AA5" i="6"/>
  <c r="G25" i="5"/>
  <c r="K105" i="5"/>
  <c r="H125" i="5" s="1"/>
  <c r="F200" i="1"/>
  <c r="W83" i="5"/>
  <c r="W85" i="5" s="1"/>
  <c r="M25" i="6" s="1"/>
  <c r="K169" i="1" s="1"/>
  <c r="V105" i="5"/>
  <c r="V111" i="5" s="1"/>
  <c r="J29" i="6" s="1"/>
  <c r="H173" i="1" s="1"/>
  <c r="N173" i="1" s="1"/>
  <c r="F47" i="10" l="1"/>
  <c r="AI21" i="9"/>
  <c r="F38" i="10"/>
  <c r="AI12" i="9"/>
  <c r="AI15" i="9"/>
  <c r="F41" i="10"/>
  <c r="F35" i="10"/>
  <c r="AI9" i="9"/>
  <c r="F39" i="10"/>
  <c r="AI13" i="9"/>
  <c r="F42" i="10"/>
  <c r="AI16" i="9"/>
  <c r="AI6" i="9"/>
  <c r="AI26" i="9" s="1"/>
  <c r="F8" i="10" s="1"/>
  <c r="F32" i="10"/>
  <c r="AI17" i="9"/>
  <c r="F43" i="10"/>
  <c r="F48" i="10"/>
  <c r="AI22" i="9"/>
  <c r="F44" i="10"/>
  <c r="AI18" i="9"/>
  <c r="AI23" i="9"/>
  <c r="F49" i="10"/>
  <c r="F40" i="10"/>
  <c r="AI20" i="9"/>
  <c r="F46" i="10"/>
  <c r="I27" i="9"/>
  <c r="AI8" i="9"/>
  <c r="F34" i="10"/>
  <c r="AI89" i="11"/>
  <c r="AJ89" i="11" s="1"/>
  <c r="AK89" i="11" s="1"/>
  <c r="AL89" i="11" s="1"/>
  <c r="AD89" i="11"/>
  <c r="AB89" i="11" s="1"/>
  <c r="AI93" i="11"/>
  <c r="AJ93" i="11" s="1"/>
  <c r="AK93" i="11" s="1"/>
  <c r="AL93" i="11" s="1"/>
  <c r="AD93" i="11"/>
  <c r="AB93" i="11" s="1"/>
  <c r="AI11" i="11"/>
  <c r="AJ11" i="11" s="1"/>
  <c r="AK11" i="11" s="1"/>
  <c r="AD11" i="11"/>
  <c r="AB11" i="11" s="1"/>
  <c r="AD108" i="11"/>
  <c r="AB108" i="11" s="1"/>
  <c r="AI108" i="11"/>
  <c r="AJ108" i="11" s="1"/>
  <c r="AK108" i="11" s="1"/>
  <c r="AL108" i="11" s="1"/>
  <c r="J55" i="6"/>
  <c r="AI69" i="11"/>
  <c r="AJ69" i="11" s="1"/>
  <c r="AK69" i="11" s="1"/>
  <c r="AL69" i="11" s="1"/>
  <c r="AD69" i="11"/>
  <c r="AB69" i="11" s="1"/>
  <c r="AD118" i="11"/>
  <c r="AB118" i="11" s="1"/>
  <c r="AI118" i="11"/>
  <c r="AJ118" i="11" s="1"/>
  <c r="AK118" i="11" s="1"/>
  <c r="AL118" i="11" s="1"/>
  <c r="P55" i="6"/>
  <c r="AD49" i="11"/>
  <c r="AB49" i="11" s="1"/>
  <c r="AI49" i="11"/>
  <c r="AJ49" i="11" s="1"/>
  <c r="AK49" i="11" s="1"/>
  <c r="AL49" i="11" s="1"/>
  <c r="AI78" i="11"/>
  <c r="AJ78" i="11" s="1"/>
  <c r="AK78" i="11" s="1"/>
  <c r="AL78" i="11" s="1"/>
  <c r="AD78" i="11"/>
  <c r="AB78" i="11" s="1"/>
  <c r="D15" i="8"/>
  <c r="AS65" i="1"/>
  <c r="AV53" i="1"/>
  <c r="H126" i="5"/>
  <c r="H26" i="5" s="1"/>
  <c r="AV42" i="1" s="1"/>
  <c r="H27" i="5"/>
  <c r="AV43" i="1" s="1"/>
  <c r="AV62" i="1" s="1"/>
  <c r="AV41" i="1"/>
  <c r="AD104" i="11"/>
  <c r="AB104" i="11" s="1"/>
  <c r="AI104" i="11"/>
  <c r="AJ104" i="11" s="1"/>
  <c r="AK104" i="11" s="1"/>
  <c r="AL104" i="11" s="1"/>
  <c r="AD102" i="11"/>
  <c r="AB102" i="11" s="1"/>
  <c r="AI102" i="11"/>
  <c r="AJ102" i="11" s="1"/>
  <c r="AK102" i="11" s="1"/>
  <c r="AL102" i="11" s="1"/>
  <c r="R177" i="1"/>
  <c r="CA18" i="1"/>
  <c r="V18" i="4" s="1"/>
  <c r="F51" i="6"/>
  <c r="F55" i="6" s="1"/>
  <c r="BW16" i="1"/>
  <c r="CC16" i="1"/>
  <c r="AH186" i="1"/>
  <c r="AI83" i="11"/>
  <c r="AJ83" i="11" s="1"/>
  <c r="AK83" i="11" s="1"/>
  <c r="AL83" i="11" s="1"/>
  <c r="AD83" i="11"/>
  <c r="AB83" i="11" s="1"/>
  <c r="BZ6" i="1"/>
  <c r="CH6" i="1"/>
  <c r="CH20" i="1" s="1"/>
  <c r="BW6" i="1"/>
  <c r="BW20" i="1" s="1"/>
  <c r="CN6" i="1"/>
  <c r="CN20" i="1" s="1"/>
  <c r="S108" i="18"/>
  <c r="AK21" i="18" s="1"/>
  <c r="G27" i="5"/>
  <c r="AU43" i="1" s="1"/>
  <c r="AU62" i="1" s="1"/>
  <c r="AU41" i="1"/>
  <c r="F106" i="15"/>
  <c r="V108" i="18"/>
  <c r="AK25" i="18" s="1"/>
  <c r="L51" i="6"/>
  <c r="CJ16" i="1"/>
  <c r="CT16" i="1"/>
  <c r="AG186" i="1"/>
  <c r="DG8" i="1"/>
  <c r="DE8" i="1"/>
  <c r="O8" i="4"/>
  <c r="AI50" i="11"/>
  <c r="AJ50" i="11" s="1"/>
  <c r="AK50" i="11" s="1"/>
  <c r="AL50" i="11" s="1"/>
  <c r="AD50" i="11"/>
  <c r="AB50" i="11" s="1"/>
  <c r="AD87" i="11"/>
  <c r="AB87" i="11" s="1"/>
  <c r="AI87" i="11"/>
  <c r="AJ87" i="11" s="1"/>
  <c r="AK87" i="11" s="1"/>
  <c r="AL87" i="11" s="1"/>
  <c r="AD88" i="11"/>
  <c r="AB88" i="11" s="1"/>
  <c r="AI88" i="11"/>
  <c r="AJ88" i="11" s="1"/>
  <c r="AK88" i="11" s="1"/>
  <c r="AL88" i="11" s="1"/>
  <c r="CF6" i="1"/>
  <c r="CC6" i="1"/>
  <c r="CC20" i="1" s="1"/>
  <c r="CX6" i="1"/>
  <c r="CX20" i="1" s="1"/>
  <c r="CR6" i="1"/>
  <c r="CR20" i="1" s="1"/>
  <c r="AC16" i="18"/>
  <c r="AJ16" i="18"/>
  <c r="AI166" i="1"/>
  <c r="AI60" i="11"/>
  <c r="AJ60" i="11" s="1"/>
  <c r="AK60" i="11" s="1"/>
  <c r="AL60" i="11" s="1"/>
  <c r="AD60" i="11"/>
  <c r="AB60" i="11" s="1"/>
  <c r="AF186" i="1"/>
  <c r="AT20" i="1"/>
  <c r="G106" i="15"/>
  <c r="BM20" i="1"/>
  <c r="BM28" i="1" s="1"/>
  <c r="R41" i="6"/>
  <c r="R55" i="6" s="1"/>
  <c r="CP6" i="1"/>
  <c r="CP20" i="1" s="1"/>
  <c r="CZ6" i="1"/>
  <c r="CZ20" i="1" s="1"/>
  <c r="CL20" i="1"/>
  <c r="AI53" i="11"/>
  <c r="AJ53" i="11" s="1"/>
  <c r="AK53" i="11" s="1"/>
  <c r="AL53" i="11" s="1"/>
  <c r="AD53" i="11"/>
  <c r="AB53" i="11" s="1"/>
  <c r="CV16" i="1"/>
  <c r="CL16" i="1"/>
  <c r="N51" i="6"/>
  <c r="J33" i="18"/>
  <c r="AJ11" i="18"/>
  <c r="P226" i="1"/>
  <c r="AD116" i="11"/>
  <c r="AB116" i="11" s="1"/>
  <c r="AI46" i="11"/>
  <c r="AJ46" i="11" s="1"/>
  <c r="AK46" i="11" s="1"/>
  <c r="AL46" i="11" s="1"/>
  <c r="AD46" i="11"/>
  <c r="AB46" i="11" s="1"/>
  <c r="Q177" i="1"/>
  <c r="AC27" i="18"/>
  <c r="AJ27" i="18"/>
  <c r="AI177" i="1"/>
  <c r="AI51" i="11"/>
  <c r="AJ51" i="11" s="1"/>
  <c r="AK51" i="11" s="1"/>
  <c r="AL51" i="11" s="1"/>
  <c r="AD51" i="11"/>
  <c r="AB51" i="11" s="1"/>
  <c r="AI99" i="11"/>
  <c r="AJ99" i="11" s="1"/>
  <c r="AK99" i="11" s="1"/>
  <c r="AL99" i="11" s="1"/>
  <c r="AD99" i="11"/>
  <c r="AB99" i="11" s="1"/>
  <c r="P93" i="18"/>
  <c r="P107" i="18"/>
  <c r="P91" i="18"/>
  <c r="P97" i="18"/>
  <c r="P98" i="18"/>
  <c r="P105" i="18"/>
  <c r="P103" i="18"/>
  <c r="P106" i="18"/>
  <c r="P100" i="18"/>
  <c r="P92" i="18"/>
  <c r="P94" i="18"/>
  <c r="P89" i="18"/>
  <c r="P96" i="18"/>
  <c r="P102" i="18"/>
  <c r="P87" i="18"/>
  <c r="P95" i="18"/>
  <c r="P104" i="18"/>
  <c r="P88" i="18"/>
  <c r="P90" i="18"/>
  <c r="P99" i="18"/>
  <c r="AQ51" i="1"/>
  <c r="C126" i="5"/>
  <c r="J124" i="5"/>
  <c r="AI112" i="11"/>
  <c r="AJ112" i="11" s="1"/>
  <c r="AK112" i="11" s="1"/>
  <c r="AL112" i="11" s="1"/>
  <c r="AD112" i="11"/>
  <c r="AB112" i="11" s="1"/>
  <c r="S41" i="6"/>
  <c r="S55" i="6" s="1"/>
  <c r="CQ6" i="1"/>
  <c r="CQ20" i="1" s="1"/>
  <c r="DA6" i="1"/>
  <c r="DA20" i="1" s="1"/>
  <c r="BN20" i="1"/>
  <c r="BN28" i="1" s="1"/>
  <c r="AI175" i="1"/>
  <c r="AC25" i="18"/>
  <c r="AJ25" i="18"/>
  <c r="CX16" i="1"/>
  <c r="P51" i="6"/>
  <c r="CN16" i="1"/>
  <c r="BK20" i="1"/>
  <c r="BK28" i="1" s="1"/>
  <c r="D126" i="5"/>
  <c r="D26" i="5" s="1"/>
  <c r="AR42" i="1" s="1"/>
  <c r="AR51" i="1"/>
  <c r="C7" i="8" s="1"/>
  <c r="N41" i="6"/>
  <c r="N55" i="6" s="1"/>
  <c r="CL6" i="1"/>
  <c r="BH20" i="1"/>
  <c r="BH28" i="1" s="1"/>
  <c r="CV6" i="1"/>
  <c r="CG5" i="1"/>
  <c r="AD48" i="11"/>
  <c r="AB48" i="11" s="1"/>
  <c r="AD25" i="11"/>
  <c r="AB25" i="11" s="1"/>
  <c r="AI25" i="11"/>
  <c r="AJ25" i="11" s="1"/>
  <c r="AK25" i="11" s="1"/>
  <c r="AL25" i="11" s="1"/>
  <c r="CH16" i="1"/>
  <c r="J51" i="6"/>
  <c r="BD20" i="1"/>
  <c r="CR16" i="1"/>
  <c r="BI16" i="1"/>
  <c r="P16" i="4" s="1"/>
  <c r="AI97" i="11"/>
  <c r="AJ97" i="11" s="1"/>
  <c r="AK97" i="11" s="1"/>
  <c r="AL97" i="11" s="1"/>
  <c r="AD97" i="11"/>
  <c r="AB97" i="11" s="1"/>
  <c r="AD52" i="11"/>
  <c r="AB52" i="11" s="1"/>
  <c r="AI52" i="11"/>
  <c r="AJ52" i="11" s="1"/>
  <c r="AK52" i="11" s="1"/>
  <c r="AL52" i="11" s="1"/>
  <c r="R102" i="18"/>
  <c r="R98" i="18"/>
  <c r="R93" i="18"/>
  <c r="R94" i="18"/>
  <c r="R89" i="18"/>
  <c r="R96" i="18"/>
  <c r="R104" i="18"/>
  <c r="R92" i="18"/>
  <c r="R91" i="18"/>
  <c r="R88" i="18"/>
  <c r="R107" i="18"/>
  <c r="R95" i="18"/>
  <c r="R106" i="18"/>
  <c r="R90" i="18"/>
  <c r="R87" i="18"/>
  <c r="R100" i="18"/>
  <c r="R97" i="18"/>
  <c r="R103" i="18"/>
  <c r="R99" i="18"/>
  <c r="R105" i="18"/>
  <c r="AR41" i="1"/>
  <c r="J25" i="5"/>
  <c r="AX41" i="1" s="1"/>
  <c r="D27" i="5"/>
  <c r="AR43" i="1" s="1"/>
  <c r="AR62" i="1" s="1"/>
  <c r="L41" i="6"/>
  <c r="BF20" i="1"/>
  <c r="BF28" i="1" s="1"/>
  <c r="CJ6" i="1"/>
  <c r="CJ20" i="1" s="1"/>
  <c r="CT6" i="1"/>
  <c r="CT20" i="1" s="1"/>
  <c r="AD94" i="11"/>
  <c r="AB94" i="11" s="1"/>
  <c r="AI94" i="11"/>
  <c r="AJ94" i="11" s="1"/>
  <c r="AK94" i="11" s="1"/>
  <c r="AL94" i="11" s="1"/>
  <c r="AW66" i="1"/>
  <c r="H16" i="8"/>
  <c r="AD103" i="11"/>
  <c r="AB103" i="11" s="1"/>
  <c r="AI103" i="11"/>
  <c r="AJ103" i="11" s="1"/>
  <c r="AK103" i="11" s="1"/>
  <c r="AL103" i="11" s="1"/>
  <c r="CK6" i="1"/>
  <c r="CK20" i="1" s="1"/>
  <c r="CU6" i="1"/>
  <c r="CU20" i="1" s="1"/>
  <c r="BG20" i="1"/>
  <c r="BG28" i="1" s="1"/>
  <c r="M41" i="6"/>
  <c r="M55" i="6" s="1"/>
  <c r="J125" i="5"/>
  <c r="AR53" i="1"/>
  <c r="AI22" i="11"/>
  <c r="AJ22" i="11" s="1"/>
  <c r="AK22" i="11" s="1"/>
  <c r="AL22" i="11" s="1"/>
  <c r="AD22" i="11"/>
  <c r="AB22" i="11" s="1"/>
  <c r="BJ20" i="1"/>
  <c r="BJ28" i="1" s="1"/>
  <c r="CW6" i="1"/>
  <c r="O41" i="6"/>
  <c r="O55" i="6" s="1"/>
  <c r="BO6" i="1"/>
  <c r="CM6" i="1"/>
  <c r="CM20" i="1" s="1"/>
  <c r="CY16" i="1"/>
  <c r="Q51" i="6"/>
  <c r="CO16" i="1"/>
  <c r="V102" i="5"/>
  <c r="J28" i="6" s="1"/>
  <c r="H172" i="1" s="1"/>
  <c r="N172" i="1" s="1"/>
  <c r="N226" i="1" s="1"/>
  <c r="AI28" i="11"/>
  <c r="AJ28" i="11" s="1"/>
  <c r="AK28" i="11" s="1"/>
  <c r="AL28" i="11" s="1"/>
  <c r="AD28" i="11"/>
  <c r="AB28" i="11" s="1"/>
  <c r="I51" i="6"/>
  <c r="I55" i="6" s="1"/>
  <c r="BZ16" i="1"/>
  <c r="CF16" i="1"/>
  <c r="AW20" i="1"/>
  <c r="AI172" i="1"/>
  <c r="AC22" i="18"/>
  <c r="AJ22" i="18"/>
  <c r="BX6" i="1"/>
  <c r="AU20" i="1"/>
  <c r="CD6" i="1"/>
  <c r="G41" i="6"/>
  <c r="E51" i="6"/>
  <c r="AX16" i="1"/>
  <c r="CB16" i="1"/>
  <c r="BV16" i="1"/>
  <c r="CA16" i="1" s="1"/>
  <c r="V16" i="4" s="1"/>
  <c r="L33" i="18"/>
  <c r="AJ13" i="18"/>
  <c r="M24" i="4"/>
  <c r="BK49" i="1"/>
  <c r="AI19" i="11"/>
  <c r="AJ19" i="11" s="1"/>
  <c r="AK19" i="11" s="1"/>
  <c r="AL19" i="11" s="1"/>
  <c r="AD19" i="11"/>
  <c r="AB19" i="11" s="1"/>
  <c r="AI77" i="11"/>
  <c r="AJ77" i="11" s="1"/>
  <c r="AK77" i="11" s="1"/>
  <c r="AL77" i="11" s="1"/>
  <c r="AD77" i="11"/>
  <c r="AB77" i="11" s="1"/>
  <c r="H51" i="6"/>
  <c r="CE16" i="1"/>
  <c r="BY16" i="1"/>
  <c r="AI114" i="11"/>
  <c r="AJ114" i="11" s="1"/>
  <c r="AK114" i="11" s="1"/>
  <c r="AL114" i="11" s="1"/>
  <c r="AD114" i="11"/>
  <c r="AB114" i="11" s="1"/>
  <c r="AI61" i="11"/>
  <c r="AJ61" i="11" s="1"/>
  <c r="AK61" i="11" s="1"/>
  <c r="AL61" i="11" s="1"/>
  <c r="AD61" i="11"/>
  <c r="AB61" i="11" s="1"/>
  <c r="I87" i="18"/>
  <c r="I104" i="18"/>
  <c r="I95" i="18"/>
  <c r="I99" i="18"/>
  <c r="I103" i="18"/>
  <c r="G103" i="18" s="1"/>
  <c r="I98" i="18"/>
  <c r="I94" i="18"/>
  <c r="I96" i="18"/>
  <c r="I92" i="18"/>
  <c r="I100" i="18"/>
  <c r="I102" i="18"/>
  <c r="I105" i="18"/>
  <c r="I89" i="18"/>
  <c r="I93" i="18"/>
  <c r="I106" i="18"/>
  <c r="G106" i="18" s="1"/>
  <c r="I88" i="18"/>
  <c r="G88" i="18" s="1"/>
  <c r="I90" i="18"/>
  <c r="G90" i="18" s="1"/>
  <c r="I91" i="18"/>
  <c r="I107" i="18"/>
  <c r="I97" i="18"/>
  <c r="AS20" i="1"/>
  <c r="CB6" i="1"/>
  <c r="E41" i="6"/>
  <c r="BV6" i="1"/>
  <c r="AX6" i="1"/>
  <c r="AD72" i="11"/>
  <c r="AB72" i="11" s="1"/>
  <c r="AI72" i="11"/>
  <c r="AJ72" i="11" s="1"/>
  <c r="AK72" i="11" s="1"/>
  <c r="AL72" i="11" s="1"/>
  <c r="BI49" i="1"/>
  <c r="BY6" i="1"/>
  <c r="BY20" i="1" s="1"/>
  <c r="H41" i="6"/>
  <c r="H55" i="6" s="1"/>
  <c r="CE6" i="1"/>
  <c r="CE20" i="1" s="1"/>
  <c r="AV20" i="1"/>
  <c r="K108" i="18"/>
  <c r="AC18" i="18"/>
  <c r="AI168" i="1"/>
  <c r="AJ18" i="18"/>
  <c r="AD115" i="11"/>
  <c r="AB115" i="11" s="1"/>
  <c r="AI115" i="11"/>
  <c r="AJ115" i="11" s="1"/>
  <c r="AK115" i="11" s="1"/>
  <c r="AL115" i="11" s="1"/>
  <c r="F126" i="5"/>
  <c r="F26" i="5" s="1"/>
  <c r="V5" i="4"/>
  <c r="W102" i="5"/>
  <c r="M28" i="6" s="1"/>
  <c r="K172" i="1" s="1"/>
  <c r="AI70" i="11"/>
  <c r="AJ70" i="11" s="1"/>
  <c r="AK70" i="11" s="1"/>
  <c r="AL70" i="11" s="1"/>
  <c r="AD70" i="11"/>
  <c r="AB70" i="11" s="1"/>
  <c r="AY92" i="11"/>
  <c r="AE92" i="11" s="1"/>
  <c r="AD24" i="11"/>
  <c r="AB24" i="11" s="1"/>
  <c r="AI24" i="11"/>
  <c r="AJ24" i="11" s="1"/>
  <c r="AK24" i="11" s="1"/>
  <c r="AL24" i="11" s="1"/>
  <c r="AD39" i="11"/>
  <c r="AB39" i="11" s="1"/>
  <c r="AI39" i="11"/>
  <c r="AJ39" i="11" s="1"/>
  <c r="AK39" i="11" s="1"/>
  <c r="AL39" i="11" s="1"/>
  <c r="AY40" i="11"/>
  <c r="AE40" i="11" s="1"/>
  <c r="W107" i="18"/>
  <c r="W87" i="18"/>
  <c r="W104" i="18"/>
  <c r="W88" i="18"/>
  <c r="W94" i="18"/>
  <c r="W106" i="18"/>
  <c r="W105" i="18"/>
  <c r="W89" i="18"/>
  <c r="W95" i="18"/>
  <c r="W93" i="18"/>
  <c r="W90" i="18"/>
  <c r="W92" i="18"/>
  <c r="W96" i="18"/>
  <c r="W102" i="18"/>
  <c r="W98" i="18"/>
  <c r="W91" i="18"/>
  <c r="W103" i="18"/>
  <c r="W100" i="18"/>
  <c r="W97" i="18"/>
  <c r="W99" i="18"/>
  <c r="AD41" i="11"/>
  <c r="AB41" i="11" s="1"/>
  <c r="AI41" i="11"/>
  <c r="AJ41" i="11" s="1"/>
  <c r="AK41" i="11" s="1"/>
  <c r="AL41" i="11" s="1"/>
  <c r="AJ26" i="18"/>
  <c r="AC26" i="18"/>
  <c r="AI176" i="1"/>
  <c r="BI6" i="1"/>
  <c r="P6" i="4" s="1"/>
  <c r="P20" i="4" s="1"/>
  <c r="CS6" i="1"/>
  <c r="K41" i="6"/>
  <c r="CI6" i="1"/>
  <c r="BE20" i="1"/>
  <c r="BE28" i="1" s="1"/>
  <c r="K51" i="6"/>
  <c r="CI16" i="1"/>
  <c r="CS16" i="1"/>
  <c r="AD14" i="11"/>
  <c r="AB14" i="11" s="1"/>
  <c r="AJ21" i="18"/>
  <c r="AC21" i="18"/>
  <c r="AI171" i="1"/>
  <c r="O51" i="6"/>
  <c r="BO16" i="1"/>
  <c r="Q16" i="4" s="1"/>
  <c r="CM16" i="1"/>
  <c r="CW16" i="1"/>
  <c r="J108" i="18"/>
  <c r="AK11" i="18" s="1"/>
  <c r="AD81" i="11"/>
  <c r="AB81" i="11" s="1"/>
  <c r="O17" i="4"/>
  <c r="DG17" i="1"/>
  <c r="DE17" i="1"/>
  <c r="U40" i="18"/>
  <c r="U48" i="18"/>
  <c r="U42" i="18"/>
  <c r="U55" i="18"/>
  <c r="U44" i="18"/>
  <c r="U56" i="18"/>
  <c r="U39" i="18"/>
  <c r="U50" i="18"/>
  <c r="U41" i="18"/>
  <c r="U45" i="18"/>
  <c r="U53" i="18"/>
  <c r="U57" i="18"/>
  <c r="U54" i="18"/>
  <c r="U43" i="18"/>
  <c r="U51" i="18"/>
  <c r="U38" i="18"/>
  <c r="U58" i="18"/>
  <c r="U47" i="18"/>
  <c r="U46" i="18"/>
  <c r="U49" i="18"/>
  <c r="AD117" i="11"/>
  <c r="AB117" i="11" s="1"/>
  <c r="AI117" i="11"/>
  <c r="AJ117" i="11" s="1"/>
  <c r="AK117" i="11" s="1"/>
  <c r="AL117" i="11" s="1"/>
  <c r="I58" i="18"/>
  <c r="I49" i="18"/>
  <c r="I51" i="18"/>
  <c r="I57" i="18"/>
  <c r="I40" i="18"/>
  <c r="I45" i="18"/>
  <c r="G45" i="18" s="1"/>
  <c r="I41" i="18"/>
  <c r="G41" i="18" s="1"/>
  <c r="I38" i="18"/>
  <c r="I42" i="18"/>
  <c r="I44" i="18"/>
  <c r="I50" i="18"/>
  <c r="G50" i="18" s="1"/>
  <c r="I54" i="18"/>
  <c r="G54" i="18" s="1"/>
  <c r="I39" i="18"/>
  <c r="G39" i="18" s="1"/>
  <c r="I56" i="18"/>
  <c r="G56" i="18" s="1"/>
  <c r="I48" i="18"/>
  <c r="G48" i="18" s="1"/>
  <c r="I55" i="18"/>
  <c r="I47" i="18"/>
  <c r="I46" i="18"/>
  <c r="I43" i="18"/>
  <c r="I53" i="18"/>
  <c r="CU16" i="1"/>
  <c r="M51" i="6"/>
  <c r="CK16" i="1"/>
  <c r="AI75" i="11"/>
  <c r="AJ75" i="11" s="1"/>
  <c r="AK75" i="11" s="1"/>
  <c r="AL75" i="11" s="1"/>
  <c r="AD75" i="11"/>
  <c r="AB75" i="11" s="1"/>
  <c r="X108" i="18"/>
  <c r="AK27" i="18" s="1"/>
  <c r="AD29" i="11"/>
  <c r="AB29" i="11" s="1"/>
  <c r="AI29" i="11"/>
  <c r="AJ29" i="11" s="1"/>
  <c r="AK29" i="11" s="1"/>
  <c r="AL29" i="11" s="1"/>
  <c r="J24" i="4"/>
  <c r="BN49" i="1"/>
  <c r="AX68" i="1" s="1"/>
  <c r="I19" i="8" s="1"/>
  <c r="AI34" i="11"/>
  <c r="AJ34" i="11" s="1"/>
  <c r="AK34" i="11" s="1"/>
  <c r="AL34" i="11" s="1"/>
  <c r="AD34" i="11"/>
  <c r="AB34" i="11" s="1"/>
  <c r="AC20" i="18"/>
  <c r="AI170" i="1"/>
  <c r="AJ20" i="18"/>
  <c r="BL20" i="1"/>
  <c r="BL28" i="1" s="1"/>
  <c r="Q41" i="6"/>
  <c r="CY6" i="1"/>
  <c r="CO6" i="1"/>
  <c r="CO20" i="1" s="1"/>
  <c r="G51" i="6"/>
  <c r="CD16" i="1"/>
  <c r="BX16" i="1"/>
  <c r="AH29" i="18" l="1"/>
  <c r="F18" i="10"/>
  <c r="F53" i="10"/>
  <c r="CC21" i="1"/>
  <c r="CC22" i="1" s="1"/>
  <c r="AR49" i="1"/>
  <c r="C4" i="8" s="1"/>
  <c r="Z56" i="18"/>
  <c r="F27" i="18"/>
  <c r="G27" i="18" s="1"/>
  <c r="W108" i="18"/>
  <c r="AK26" i="18" s="1"/>
  <c r="G97" i="18"/>
  <c r="G99" i="18"/>
  <c r="P108" i="18"/>
  <c r="BG29" i="1"/>
  <c r="M57" i="6" s="1"/>
  <c r="AT49" i="1"/>
  <c r="E4" i="8" s="1"/>
  <c r="CE21" i="1"/>
  <c r="CE22" i="1" s="1"/>
  <c r="DE16" i="1"/>
  <c r="DG16" i="1"/>
  <c r="O16" i="4"/>
  <c r="CV20" i="1"/>
  <c r="BH29" i="1" s="1"/>
  <c r="BK29" i="1"/>
  <c r="P57" i="6" s="1"/>
  <c r="Z48" i="18"/>
  <c r="F19" i="18"/>
  <c r="G19" i="18" s="1"/>
  <c r="CF20" i="1"/>
  <c r="CG16" i="1"/>
  <c r="W16" i="4" s="1"/>
  <c r="N56" i="6"/>
  <c r="R56" i="6"/>
  <c r="BM30" i="1"/>
  <c r="BW21" i="1"/>
  <c r="BW22" i="1" s="1"/>
  <c r="AT35" i="1"/>
  <c r="F57" i="6" s="1"/>
  <c r="C9" i="8"/>
  <c r="AX53" i="1"/>
  <c r="Z39" i="18"/>
  <c r="F10" i="18"/>
  <c r="G10" i="18" s="1"/>
  <c r="Z54" i="18"/>
  <c r="F25" i="18"/>
  <c r="G25" i="18" s="1"/>
  <c r="G91" i="18"/>
  <c r="F21" i="18"/>
  <c r="G21" i="18" s="1"/>
  <c r="Z50" i="18"/>
  <c r="AU65" i="1"/>
  <c r="F15" i="8"/>
  <c r="BM29" i="1"/>
  <c r="R57" i="6" s="1"/>
  <c r="D3" i="15"/>
  <c r="D5" i="15" s="1"/>
  <c r="BD29" i="1"/>
  <c r="AV65" i="1"/>
  <c r="G15" i="8"/>
  <c r="BG30" i="1"/>
  <c r="M56" i="6"/>
  <c r="AR48" i="1"/>
  <c r="AT36" i="1"/>
  <c r="BZ20" i="1"/>
  <c r="S56" i="6"/>
  <c r="AK13" i="18"/>
  <c r="AK12" i="18"/>
  <c r="K56" i="6"/>
  <c r="J126" i="5"/>
  <c r="C26" i="5"/>
  <c r="AF188" i="1"/>
  <c r="AF187" i="1"/>
  <c r="AV54" i="1"/>
  <c r="AV61" i="1" s="1"/>
  <c r="G9" i="8"/>
  <c r="AL11" i="11"/>
  <c r="AJ4" i="11"/>
  <c r="AJ1" i="11" s="1"/>
  <c r="F12" i="18"/>
  <c r="G12" i="18" s="1"/>
  <c r="Z41" i="18"/>
  <c r="H18" i="8"/>
  <c r="AW73" i="1"/>
  <c r="G40" i="18"/>
  <c r="AX51" i="1"/>
  <c r="B7" i="8"/>
  <c r="I7" i="8" s="1"/>
  <c r="AR65" i="1"/>
  <c r="C15" i="8"/>
  <c r="G95" i="18"/>
  <c r="CS20" i="1"/>
  <c r="CS22" i="1" s="1"/>
  <c r="L29" i="4" s="1"/>
  <c r="G55" i="6"/>
  <c r="G100" i="18"/>
  <c r="G43" i="18"/>
  <c r="DG6" i="1"/>
  <c r="O6" i="4"/>
  <c r="DE6" i="1"/>
  <c r="AX21" i="1"/>
  <c r="G92" i="18"/>
  <c r="CW20" i="1"/>
  <c r="P56" i="6"/>
  <c r="G42" i="18"/>
  <c r="AI92" i="11"/>
  <c r="AJ92" i="11" s="1"/>
  <c r="AK92" i="11" s="1"/>
  <c r="AL92" i="11" s="1"/>
  <c r="AD92" i="11"/>
  <c r="AB92" i="11" s="1"/>
  <c r="R108" i="18"/>
  <c r="AK20" i="18" s="1"/>
  <c r="G105" i="18"/>
  <c r="CN22" i="1"/>
  <c r="AH190" i="1" s="1"/>
  <c r="BJ29" i="1"/>
  <c r="BJ30" i="1" s="1"/>
  <c r="G57" i="18"/>
  <c r="BX20" i="1"/>
  <c r="G51" i="18"/>
  <c r="G46" i="18"/>
  <c r="G49" i="18"/>
  <c r="CA6" i="1"/>
  <c r="BV20" i="1"/>
  <c r="G96" i="18"/>
  <c r="O56" i="6"/>
  <c r="BO28" i="1"/>
  <c r="BF29" i="1"/>
  <c r="L57" i="6" s="1"/>
  <c r="BD28" i="1"/>
  <c r="BI20" i="1"/>
  <c r="AG187" i="1"/>
  <c r="AG188" i="1"/>
  <c r="AH187" i="1"/>
  <c r="AH188" i="1"/>
  <c r="G104" i="18"/>
  <c r="I108" i="18"/>
  <c r="G87" i="18"/>
  <c r="W5" i="4"/>
  <c r="W20" i="4" s="1"/>
  <c r="CG20" i="1"/>
  <c r="G44" i="18"/>
  <c r="AT48" i="1"/>
  <c r="AV36" i="1"/>
  <c r="BN29" i="1"/>
  <c r="S57" i="6" s="1"/>
  <c r="G38" i="18"/>
  <c r="K55" i="6"/>
  <c r="G93" i="18"/>
  <c r="BY21" i="1"/>
  <c r="BY22" i="1" s="1"/>
  <c r="AV35" i="1"/>
  <c r="H57" i="6" s="1"/>
  <c r="CD20" i="1"/>
  <c r="Q55" i="6"/>
  <c r="G102" i="18"/>
  <c r="AS48" i="1"/>
  <c r="BO20" i="1"/>
  <c r="Q6" i="4"/>
  <c r="Q20" i="4" s="1"/>
  <c r="Q56" i="6"/>
  <c r="G53" i="18"/>
  <c r="G47" i="18"/>
  <c r="G58" i="18"/>
  <c r="AT42" i="1"/>
  <c r="F27" i="5"/>
  <c r="AT43" i="1" s="1"/>
  <c r="AT62" i="1" s="1"/>
  <c r="E55" i="6"/>
  <c r="G94" i="18"/>
  <c r="L56" i="6"/>
  <c r="AX20" i="1"/>
  <c r="AQ48" i="1"/>
  <c r="G107" i="18"/>
  <c r="AI40" i="11"/>
  <c r="AJ40" i="11" s="1"/>
  <c r="AK40" i="11" s="1"/>
  <c r="AL40" i="11" s="1"/>
  <c r="AD40" i="11"/>
  <c r="AB40" i="11" s="1"/>
  <c r="CI20" i="1"/>
  <c r="BE29" i="1" s="1"/>
  <c r="K57" i="6" s="1"/>
  <c r="G89" i="18"/>
  <c r="CY20" i="1"/>
  <c r="BL29" i="1" s="1"/>
  <c r="F16" i="18"/>
  <c r="G16" i="18" s="1"/>
  <c r="Z45" i="18"/>
  <c r="AX55" i="1"/>
  <c r="I5" i="8" s="1"/>
  <c r="AX29" i="1"/>
  <c r="G55" i="18"/>
  <c r="CG6" i="1"/>
  <c r="W6" i="4" s="1"/>
  <c r="CB20" i="1"/>
  <c r="G98" i="18"/>
  <c r="AU48" i="1"/>
  <c r="L55" i="6"/>
  <c r="N57" i="6" l="1"/>
  <c r="BH30" i="1"/>
  <c r="Q57" i="6"/>
  <c r="BL30" i="1"/>
  <c r="O58" i="6"/>
  <c r="E4" i="6"/>
  <c r="F9" i="18"/>
  <c r="G9" i="18" s="1"/>
  <c r="Z38" i="18"/>
  <c r="Z43" i="18"/>
  <c r="F14" i="18"/>
  <c r="G14" i="18" s="1"/>
  <c r="Z53" i="18"/>
  <c r="F24" i="18"/>
  <c r="G24" i="18" s="1"/>
  <c r="F15" i="18"/>
  <c r="G15" i="18" s="1"/>
  <c r="Z44" i="18"/>
  <c r="BK30" i="1"/>
  <c r="AI187" i="1"/>
  <c r="B3" i="8"/>
  <c r="AX48" i="1"/>
  <c r="AS54" i="1"/>
  <c r="AS61" i="1" s="1"/>
  <c r="D3" i="8"/>
  <c r="AX31" i="1"/>
  <c r="F58" i="6"/>
  <c r="C5" i="6"/>
  <c r="AV63" i="1"/>
  <c r="G14" i="8"/>
  <c r="R58" i="6"/>
  <c r="E7" i="6"/>
  <c r="V6" i="4"/>
  <c r="V20" i="4" s="1"/>
  <c r="CA20" i="1"/>
  <c r="BF30" i="1"/>
  <c r="Z55" i="18"/>
  <c r="F26" i="18"/>
  <c r="G26" i="18" s="1"/>
  <c r="F29" i="18"/>
  <c r="G29" i="18" s="1"/>
  <c r="Z58" i="18"/>
  <c r="BI29" i="1"/>
  <c r="J57" i="6"/>
  <c r="F3" i="8"/>
  <c r="C27" i="5"/>
  <c r="J26" i="5"/>
  <c r="AX42" i="1" s="1"/>
  <c r="AQ42" i="1"/>
  <c r="AK10" i="18"/>
  <c r="Z108" i="18"/>
  <c r="AK28" i="18" s="1"/>
  <c r="BV21" i="1"/>
  <c r="AS35" i="1"/>
  <c r="BE30" i="1"/>
  <c r="AS49" i="1"/>
  <c r="D4" i="8" s="1"/>
  <c r="CD21" i="1"/>
  <c r="CD22" i="1" s="1"/>
  <c r="H25" i="8"/>
  <c r="AW75" i="1"/>
  <c r="H27" i="8" s="1"/>
  <c r="AX32" i="1"/>
  <c r="F10" i="10" s="1"/>
  <c r="Z51" i="18"/>
  <c r="F22" i="18"/>
  <c r="G22" i="18" s="1"/>
  <c r="DE20" i="1"/>
  <c r="BN30" i="1"/>
  <c r="AU49" i="1"/>
  <c r="F4" i="8" s="1"/>
  <c r="CF21" i="1"/>
  <c r="CF22" i="1" s="1"/>
  <c r="O57" i="6"/>
  <c r="BO29" i="1"/>
  <c r="F18" i="18"/>
  <c r="G18" i="18" s="1"/>
  <c r="Z47" i="18"/>
  <c r="AR54" i="1"/>
  <c r="AR61" i="1" s="1"/>
  <c r="C3" i="8"/>
  <c r="E3" i="8"/>
  <c r="AT54" i="1"/>
  <c r="AT61" i="1" s="1"/>
  <c r="I9" i="8"/>
  <c r="AX30" i="1"/>
  <c r="I29" i="4"/>
  <c r="CB21" i="1"/>
  <c r="AQ49" i="1"/>
  <c r="AQ54" i="1" s="1"/>
  <c r="CX22" i="1"/>
  <c r="M29" i="4" s="1"/>
  <c r="Z49" i="18"/>
  <c r="F20" i="18"/>
  <c r="G20" i="18" s="1"/>
  <c r="Z46" i="18"/>
  <c r="F17" i="18"/>
  <c r="G17" i="18" s="1"/>
  <c r="AT65" i="1"/>
  <c r="E15" i="8"/>
  <c r="BX21" i="1"/>
  <c r="BX22" i="1" s="1"/>
  <c r="AU35" i="1"/>
  <c r="O20" i="4"/>
  <c r="C7" i="6"/>
  <c r="H58" i="6"/>
  <c r="J56" i="6"/>
  <c r="BD30" i="1"/>
  <c r="BI28" i="1"/>
  <c r="D7" i="6"/>
  <c r="M58" i="6"/>
  <c r="G108" i="18"/>
  <c r="F13" i="18"/>
  <c r="G13" i="18" s="1"/>
  <c r="Z42" i="18"/>
  <c r="CI22" i="1"/>
  <c r="AG190" i="1" s="1"/>
  <c r="AX33" i="1"/>
  <c r="F12" i="10" s="1"/>
  <c r="F11" i="10" s="1"/>
  <c r="F23" i="10" s="1"/>
  <c r="F9" i="10"/>
  <c r="AK18" i="18"/>
  <c r="AA108" i="18"/>
  <c r="Z40" i="18"/>
  <c r="F11" i="18"/>
  <c r="G11" i="18" s="1"/>
  <c r="F28" i="18"/>
  <c r="G28" i="18" s="1"/>
  <c r="Z57" i="18"/>
  <c r="DG20" i="1"/>
  <c r="BZ21" i="1"/>
  <c r="BZ22" i="1" s="1"/>
  <c r="AW35" i="1"/>
  <c r="AQ61" i="1" l="1"/>
  <c r="BV22" i="1"/>
  <c r="CA22" i="1" s="1"/>
  <c r="CA21" i="1"/>
  <c r="E57" i="6"/>
  <c r="AX35" i="1"/>
  <c r="AS36" i="1"/>
  <c r="E8" i="6"/>
  <c r="S58" i="6"/>
  <c r="DE24" i="1"/>
  <c r="DE23" i="1"/>
  <c r="AU54" i="1"/>
  <c r="AU61" i="1" s="1"/>
  <c r="D5" i="6"/>
  <c r="K58" i="6"/>
  <c r="E5" i="6"/>
  <c r="P58" i="6"/>
  <c r="AR19" i="6"/>
  <c r="AF19" i="6"/>
  <c r="AL19" i="6"/>
  <c r="AX19" i="6"/>
  <c r="AQ43" i="1"/>
  <c r="AQ62" i="1" s="1"/>
  <c r="J27" i="5"/>
  <c r="AX43" i="1" s="1"/>
  <c r="DG23" i="1"/>
  <c r="DG24" i="1"/>
  <c r="AB19" i="6"/>
  <c r="AN19" i="6"/>
  <c r="AH19" i="6"/>
  <c r="AT19" i="6"/>
  <c r="G16" i="8"/>
  <c r="AV66" i="1"/>
  <c r="Z59" i="18"/>
  <c r="AK29" i="18" s="1"/>
  <c r="AE19" i="6"/>
  <c r="AQ19" i="6"/>
  <c r="AK19" i="6"/>
  <c r="AW19" i="6"/>
  <c r="CB22" i="1"/>
  <c r="CG22" i="1" s="1"/>
  <c r="K29" i="4" s="1"/>
  <c r="CG21" i="1"/>
  <c r="J29" i="4" s="1"/>
  <c r="BI30" i="1"/>
  <c r="BI31" i="1" s="1"/>
  <c r="BI32" i="1" s="1"/>
  <c r="BI33" i="1" s="1"/>
  <c r="L27" i="9" s="1"/>
  <c r="J58" i="6"/>
  <c r="D4" i="6"/>
  <c r="E14" i="8"/>
  <c r="AT63" i="1"/>
  <c r="I3" i="8"/>
  <c r="I10" i="8" s="1"/>
  <c r="D8" i="6"/>
  <c r="N58" i="6"/>
  <c r="C14" i="8"/>
  <c r="AR63" i="1"/>
  <c r="D6" i="6"/>
  <c r="L58" i="6"/>
  <c r="AT17" i="6"/>
  <c r="AN17" i="6"/>
  <c r="AH17" i="6"/>
  <c r="AB17" i="6"/>
  <c r="I57" i="6"/>
  <c r="AW36" i="1"/>
  <c r="B4" i="8"/>
  <c r="I4" i="8" s="1"/>
  <c r="AX49" i="1"/>
  <c r="AX54" i="1" s="1"/>
  <c r="AX56" i="1" s="1"/>
  <c r="E33" i="4" s="1"/>
  <c r="O4" i="6" s="1"/>
  <c r="BO30" i="1"/>
  <c r="BO31" i="1" s="1"/>
  <c r="BO32" i="1" s="1"/>
  <c r="BO33" i="1" s="1"/>
  <c r="U29" i="9" s="1"/>
  <c r="U30" i="9" s="1"/>
  <c r="AF16" i="6"/>
  <c r="AL16" i="6"/>
  <c r="AX16" i="6"/>
  <c r="AR16" i="6"/>
  <c r="AS63" i="1"/>
  <c r="D14" i="8"/>
  <c r="Q58" i="6"/>
  <c r="E6" i="6"/>
  <c r="AB30" i="18"/>
  <c r="G57" i="6"/>
  <c r="AU36" i="1"/>
  <c r="G18" i="8" l="1"/>
  <c r="AV73" i="1"/>
  <c r="AC19" i="6"/>
  <c r="AD19" i="6" s="1"/>
  <c r="C16" i="8"/>
  <c r="AR66" i="1"/>
  <c r="AF17" i="6"/>
  <c r="AX17" i="6"/>
  <c r="AX22" i="6" s="1"/>
  <c r="E16" i="6" s="1"/>
  <c r="AR17" i="6"/>
  <c r="AR22" i="6" s="1"/>
  <c r="E15" i="6" s="1"/>
  <c r="AL17" i="6"/>
  <c r="AL22" i="6" s="1"/>
  <c r="E14" i="6" s="1"/>
  <c r="AI19" i="6"/>
  <c r="AJ19" i="6" s="1"/>
  <c r="AC17" i="6"/>
  <c r="AD17" i="6" s="1"/>
  <c r="AQ65" i="1"/>
  <c r="AX65" i="1" s="1"/>
  <c r="F13" i="10" s="1"/>
  <c r="AX62" i="1"/>
  <c r="B15" i="8"/>
  <c r="I15" i="8" s="1"/>
  <c r="AC33" i="6"/>
  <c r="D17" i="6" s="1"/>
  <c r="AK20" i="6"/>
  <c r="AE20" i="6"/>
  <c r="AW20" i="6"/>
  <c r="AQ20" i="6"/>
  <c r="AU19" i="6"/>
  <c r="AV19" i="6" s="1"/>
  <c r="F14" i="8"/>
  <c r="AU63" i="1"/>
  <c r="AT66" i="1"/>
  <c r="E16" i="8"/>
  <c r="AO19" i="6"/>
  <c r="AP19" i="6" s="1"/>
  <c r="C8" i="6"/>
  <c r="I58" i="6"/>
  <c r="AE16" i="6"/>
  <c r="AK16" i="6"/>
  <c r="AW16" i="6"/>
  <c r="AQ16" i="6"/>
  <c r="C4" i="6"/>
  <c r="E58" i="6"/>
  <c r="AX36" i="1"/>
  <c r="C6" i="6"/>
  <c r="G58" i="6"/>
  <c r="AO17" i="6"/>
  <c r="AP17" i="6" s="1"/>
  <c r="BA54" i="1"/>
  <c r="D16" i="8"/>
  <c r="AS66" i="1"/>
  <c r="AW17" i="6"/>
  <c r="AE17" i="6"/>
  <c r="AQ17" i="6"/>
  <c r="AK17" i="6"/>
  <c r="DD23" i="1"/>
  <c r="B27" i="10" s="1"/>
  <c r="DD22" i="1"/>
  <c r="H32" i="4" s="1"/>
  <c r="F27" i="10"/>
  <c r="AR20" i="6"/>
  <c r="AX20" i="6"/>
  <c r="AF20" i="6"/>
  <c r="AF22" i="6" s="1"/>
  <c r="E13" i="6" s="1"/>
  <c r="AL20" i="6"/>
  <c r="AD33" i="6"/>
  <c r="E17" i="6" s="1"/>
  <c r="L29" i="9"/>
  <c r="L28" i="9"/>
  <c r="AO11" i="1"/>
  <c r="AI17" i="6"/>
  <c r="AJ17" i="6" s="1"/>
  <c r="AF18" i="6"/>
  <c r="AR18" i="6"/>
  <c r="AL18" i="6"/>
  <c r="AX18" i="6"/>
  <c r="AU17" i="6"/>
  <c r="AV17" i="6" s="1"/>
  <c r="CG23" i="1"/>
  <c r="AF190" i="1"/>
  <c r="AW18" i="6"/>
  <c r="AE18" i="6"/>
  <c r="AK18" i="6"/>
  <c r="AQ18" i="6"/>
  <c r="B14" i="8"/>
  <c r="I14" i="8" s="1"/>
  <c r="AQ63" i="1"/>
  <c r="AX61" i="1"/>
  <c r="D18" i="8" l="1"/>
  <c r="AS73" i="1"/>
  <c r="F16" i="8"/>
  <c r="AU66" i="1"/>
  <c r="AQ22" i="6"/>
  <c r="D15" i="6" s="1"/>
  <c r="M27" i="9"/>
  <c r="H2" i="7"/>
  <c r="F20" i="10"/>
  <c r="F26" i="10" s="1"/>
  <c r="AT73" i="1"/>
  <c r="E18" i="8"/>
  <c r="AB16" i="6"/>
  <c r="AN16" i="6"/>
  <c r="AT16" i="6"/>
  <c r="AH16" i="6"/>
  <c r="AK22" i="6"/>
  <c r="D14" i="6" s="1"/>
  <c r="AE22" i="6"/>
  <c r="D13" i="6" s="1"/>
  <c r="AN18" i="6"/>
  <c r="AH18" i="6"/>
  <c r="AB18" i="6"/>
  <c r="AT18" i="6"/>
  <c r="AR73" i="1"/>
  <c r="C18" i="8"/>
  <c r="AW22" i="6"/>
  <c r="D16" i="6" s="1"/>
  <c r="G25" i="8"/>
  <c r="AV75" i="1"/>
  <c r="G27" i="8" s="1"/>
  <c r="B16" i="8"/>
  <c r="I16" i="8" s="1"/>
  <c r="AX63" i="1"/>
  <c r="AQ66" i="1"/>
  <c r="AB33" i="6"/>
  <c r="C17" i="6" s="1"/>
  <c r="AH20" i="6"/>
  <c r="AB20" i="6"/>
  <c r="AN20" i="6"/>
  <c r="AT20" i="6"/>
  <c r="AO16" i="6" l="1"/>
  <c r="AN22" i="6"/>
  <c r="AS16" i="6"/>
  <c r="AH22" i="6"/>
  <c r="AI16" i="6"/>
  <c r="E25" i="8"/>
  <c r="AT75" i="1"/>
  <c r="E27" i="8" s="1"/>
  <c r="AC20" i="6"/>
  <c r="AD20" i="6" s="1"/>
  <c r="AM20" i="6"/>
  <c r="AI20" i="6"/>
  <c r="AJ20" i="6" s="1"/>
  <c r="AT22" i="6"/>
  <c r="AY16" i="6"/>
  <c r="AU16" i="6"/>
  <c r="AC18" i="6"/>
  <c r="AD18" i="6" s="1"/>
  <c r="AU20" i="6"/>
  <c r="AV20" i="6" s="1"/>
  <c r="AO18" i="6"/>
  <c r="AP18" i="6" s="1"/>
  <c r="AS18" i="6"/>
  <c r="AS75" i="1"/>
  <c r="D27" i="8" s="1"/>
  <c r="D25" i="8"/>
  <c r="AQ73" i="1"/>
  <c r="AX66" i="1"/>
  <c r="AX69" i="1" s="1"/>
  <c r="B18" i="8"/>
  <c r="I18" i="8" s="1"/>
  <c r="AC16" i="6"/>
  <c r="AB22" i="6"/>
  <c r="AG16" i="6"/>
  <c r="AR75" i="1"/>
  <c r="C27" i="8" s="1"/>
  <c r="C25" i="8"/>
  <c r="AU18" i="6"/>
  <c r="AV18" i="6" s="1"/>
  <c r="AU73" i="1"/>
  <c r="F18" i="8"/>
  <c r="AI18" i="6"/>
  <c r="AJ18" i="6" s="1"/>
  <c r="AO20" i="6"/>
  <c r="AP20" i="6" s="1"/>
  <c r="AS20" i="6"/>
  <c r="AV16" i="6" l="1"/>
  <c r="AV22" i="6" s="1"/>
  <c r="AU22" i="6"/>
  <c r="AG22" i="6"/>
  <c r="AG23" i="6"/>
  <c r="AG29" i="6" s="1"/>
  <c r="M13" i="6" s="1"/>
  <c r="K159" i="1" s="1"/>
  <c r="AE23" i="6"/>
  <c r="AE29" i="6" s="1"/>
  <c r="P13" i="6" s="1"/>
  <c r="C13" i="6"/>
  <c r="AG21" i="6"/>
  <c r="AG19" i="6"/>
  <c r="AG17" i="6"/>
  <c r="AM27" i="6"/>
  <c r="AK27" i="6"/>
  <c r="AG20" i="6"/>
  <c r="AS25" i="6"/>
  <c r="AQ25" i="6"/>
  <c r="AW23" i="6"/>
  <c r="AW29" i="6" s="1"/>
  <c r="P16" i="6" s="1"/>
  <c r="AY23" i="6"/>
  <c r="AY29" i="6" s="1"/>
  <c r="M16" i="6" s="1"/>
  <c r="K162" i="1" s="1"/>
  <c r="AY22" i="6"/>
  <c r="C16" i="6"/>
  <c r="AY21" i="6"/>
  <c r="AY17" i="6"/>
  <c r="AY19" i="6"/>
  <c r="AC22" i="6"/>
  <c r="AD16" i="6"/>
  <c r="AD22" i="6" s="1"/>
  <c r="I21" i="8"/>
  <c r="F16" i="10"/>
  <c r="E34" i="4"/>
  <c r="B25" i="8"/>
  <c r="I25" i="8" s="1"/>
  <c r="AQ75" i="1"/>
  <c r="AQ27" i="6"/>
  <c r="AS27" i="6"/>
  <c r="AI22" i="6"/>
  <c r="AJ16" i="6"/>
  <c r="AJ22" i="6" s="1"/>
  <c r="C14" i="6"/>
  <c r="AM21" i="6"/>
  <c r="AM17" i="6"/>
  <c r="AM19" i="6"/>
  <c r="AM18" i="6"/>
  <c r="AM16" i="6"/>
  <c r="AQ23" i="6"/>
  <c r="AQ29" i="6" s="1"/>
  <c r="P15" i="6" s="1"/>
  <c r="AS23" i="6"/>
  <c r="AS29" i="6" s="1"/>
  <c r="M15" i="6" s="1"/>
  <c r="K161" i="1" s="1"/>
  <c r="AS22" i="6"/>
  <c r="F25" i="8"/>
  <c r="AU75" i="1"/>
  <c r="F27" i="8" s="1"/>
  <c r="AY20" i="6"/>
  <c r="C15" i="6"/>
  <c r="AS21" i="6"/>
  <c r="AS17" i="6"/>
  <c r="AS19" i="6"/>
  <c r="AY18" i="6"/>
  <c r="AG18" i="6"/>
  <c r="AO22" i="6"/>
  <c r="AP16" i="6"/>
  <c r="AP22" i="6" s="1"/>
  <c r="AQ28" i="6" l="1"/>
  <c r="AS28" i="6"/>
  <c r="AQ26" i="6"/>
  <c r="AS26" i="6"/>
  <c r="AQ24" i="6"/>
  <c r="AS24" i="6"/>
  <c r="AY27" i="6"/>
  <c r="AW27" i="6"/>
  <c r="AG27" i="6"/>
  <c r="AE27" i="6"/>
  <c r="AE24" i="6"/>
  <c r="AG24" i="6"/>
  <c r="AG26" i="6"/>
  <c r="AE26" i="6"/>
  <c r="AK23" i="6"/>
  <c r="AK29" i="6" s="1"/>
  <c r="P14" i="6" s="1"/>
  <c r="AM23" i="6"/>
  <c r="AM29" i="6" s="1"/>
  <c r="M14" i="6" s="1"/>
  <c r="K160" i="1" s="1"/>
  <c r="AM22" i="6"/>
  <c r="AM25" i="6"/>
  <c r="AK25" i="6"/>
  <c r="AK26" i="6"/>
  <c r="AM26" i="6"/>
  <c r="AY24" i="6"/>
  <c r="AW24" i="6"/>
  <c r="B27" i="8"/>
  <c r="I27" i="8" s="1"/>
  <c r="AX75" i="1"/>
  <c r="AX78" i="1" s="1"/>
  <c r="AG28" i="6"/>
  <c r="AE28" i="6"/>
  <c r="AY26" i="6"/>
  <c r="AW26" i="6"/>
  <c r="AM24" i="6"/>
  <c r="AK24" i="6"/>
  <c r="AY28" i="6"/>
  <c r="AW28" i="6"/>
  <c r="AG25" i="6"/>
  <c r="AE25" i="6"/>
  <c r="AK28" i="6"/>
  <c r="AM28" i="6"/>
  <c r="AY25" i="6"/>
  <c r="AW25" i="6"/>
  <c r="F17" i="10" l="1"/>
  <c r="I30" i="8"/>
  <c r="I28" i="9"/>
  <c r="AX79" i="1"/>
  <c r="AF189" i="1" s="1"/>
  <c r="AF191" i="1"/>
  <c r="AE191" i="1"/>
  <c r="I29" i="9" l="1"/>
  <c r="F54" i="10"/>
  <c r="C29" i="9" l="1"/>
  <c r="F55" i="10"/>
  <c r="E35" i="4"/>
  <c r="C2" i="7"/>
  <c r="F19" i="10"/>
  <c r="F25" i="10" s="1"/>
  <c r="G35" i="4" l="1"/>
  <c r="B55" i="10"/>
</calcChain>
</file>

<file path=xl/comments1.xml><?xml version="1.0" encoding="utf-8"?>
<comments xmlns="http://schemas.openxmlformats.org/spreadsheetml/2006/main">
  <authors>
    <author/>
    <author>rechjoh</author>
  </authors>
  <commentList>
    <comment ref="F5" authorId="0">
      <text>
        <r>
          <rPr>
            <sz val="10"/>
            <rFont val="Arial"/>
            <family val="2"/>
          </rPr>
          <t>Wählen Sie eine Ertragslage aus!</t>
        </r>
      </text>
    </comment>
    <comment ref="G5" authorId="0">
      <text>
        <r>
          <rPr>
            <sz val="8"/>
            <color indexed="8"/>
            <rFont val="Tahoma"/>
            <family val="2"/>
          </rPr>
          <t>Wird der N-Bedarfswert nicht automatisch eingespielt, muss er hier eigenhändig eingetragen werden (bei allen eingetippten Kulturen).</t>
        </r>
      </text>
    </comment>
    <comment ref="D40" authorId="1">
      <text>
        <r>
          <rPr>
            <b/>
            <sz val="11"/>
            <color indexed="81"/>
            <rFont val="Tahoma"/>
            <family val="2"/>
          </rPr>
          <t>in SGD 7 neue höhere Werte, aber lt. AP-Nitrat noch nicht gültig!</t>
        </r>
      </text>
    </comment>
    <comment ref="D49" authorId="1">
      <text>
        <r>
          <rPr>
            <b/>
            <sz val="11"/>
            <color indexed="81"/>
            <rFont val="Tahoma"/>
            <family val="2"/>
          </rPr>
          <t>in SGD 7 neue höhere Werte, 
aber lt. AP-Nitrat noch nicht gültig!</t>
        </r>
      </text>
    </comment>
    <comment ref="H49" authorId="1">
      <text>
        <r>
          <rPr>
            <sz val="10"/>
            <color indexed="81"/>
            <rFont val="Tahoma"/>
            <family val="2"/>
          </rPr>
          <t xml:space="preserve">120 kg N lt. AP-Nitrat 2012, 
in SGD 7 145 kg N
</t>
        </r>
      </text>
    </comment>
    <comment ref="J49" authorId="1">
      <text>
        <r>
          <rPr>
            <sz val="8"/>
            <color indexed="81"/>
            <rFont val="Tahoma"/>
            <family val="2"/>
          </rPr>
          <t xml:space="preserve">145 kg N lt. AP-Nitrat 2012, 
in SGD 7 160 kg N
</t>
        </r>
      </text>
    </comment>
    <comment ref="L49" authorId="1">
      <text>
        <r>
          <rPr>
            <sz val="11"/>
            <color indexed="81"/>
            <rFont val="Tahoma"/>
            <family val="2"/>
          </rPr>
          <t>155 kg N lt. AP-Nitrat 2012, 
in SGD 7 175 kg N</t>
        </r>
      </text>
    </comment>
    <comment ref="N49" authorId="1">
      <text>
        <r>
          <rPr>
            <sz val="11"/>
            <color indexed="81"/>
            <rFont val="Tahoma"/>
            <family val="2"/>
          </rPr>
          <t>165 kg N lt. AP-Nitrat 2012, 
in SGD 7 190 kg N</t>
        </r>
      </text>
    </comment>
    <comment ref="D52" authorId="1">
      <text>
        <r>
          <rPr>
            <b/>
            <sz val="11"/>
            <color indexed="81"/>
            <rFont val="Tahoma"/>
            <family val="2"/>
          </rPr>
          <t>in SGD 7 neue höhere Werte, 
aber lt. AP-Nitrat noch nicht gültig!</t>
        </r>
        <r>
          <rPr>
            <sz val="11"/>
            <color indexed="81"/>
            <rFont val="Tahoma"/>
            <family val="2"/>
          </rPr>
          <t xml:space="preserve">
</t>
        </r>
      </text>
    </comment>
  </commentList>
</comments>
</file>

<file path=xl/comments2.xml><?xml version="1.0" encoding="utf-8"?>
<comments xmlns="http://schemas.openxmlformats.org/spreadsheetml/2006/main">
  <authors>
    <author/>
  </authors>
  <commentList>
    <comment ref="B13" authorId="0">
      <text>
        <r>
          <rPr>
            <sz val="10"/>
            <rFont val="Arial"/>
            <family val="2"/>
          </rPr>
          <t>Geben Sie dem Dünger in dieser Lagerstätte einen Namen!</t>
        </r>
      </text>
    </comment>
    <comment ref="F13" authorId="0">
      <text>
        <r>
          <rPr>
            <sz val="10"/>
            <rFont val="Arial"/>
            <family val="2"/>
          </rPr>
          <t>Schätzen Sie den Jahresanfall ab und tragen ihn hier ein.</t>
        </r>
      </text>
    </comment>
  </commentList>
</comments>
</file>

<file path=xl/sharedStrings.xml><?xml version="1.0" encoding="utf-8"?>
<sst xmlns="http://schemas.openxmlformats.org/spreadsheetml/2006/main" count="5736" uniqueCount="2204">
  <si>
    <r>
      <t xml:space="preserve">Stickstoff-Anfall nach Abzug der Verluste im Stall und am Lager </t>
    </r>
    <r>
      <rPr>
        <b/>
        <sz val="12"/>
        <color indexed="10"/>
        <rFont val="Arial"/>
        <family val="2"/>
      </rPr>
      <t>= N ab Lager</t>
    </r>
  </si>
  <si>
    <t>N-Äquivalent</t>
  </si>
  <si>
    <t>x AO</t>
  </si>
  <si>
    <t>Rinder</t>
  </si>
  <si>
    <t>kg N pro Tier/Platz und Jahr</t>
  </si>
  <si>
    <t>m³-anfall pro Tier/Platz und Jahr</t>
  </si>
  <si>
    <t>nährstoff-best.</t>
  </si>
  <si>
    <t>kg P2O5 pro Tier/Platz und Jahr</t>
  </si>
  <si>
    <t>kg K2O pro Tier/Platz und Jahr</t>
  </si>
  <si>
    <t>P2O4</t>
  </si>
  <si>
    <t>P2O5 reduziert</t>
  </si>
  <si>
    <t>- Ausbringverluste</t>
  </si>
  <si>
    <t>BIO-VO Tierzahl</t>
  </si>
  <si>
    <r>
      <t xml:space="preserve">BIO </t>
    </r>
    <r>
      <rPr>
        <sz val="8"/>
        <rFont val="Arial"/>
        <family val="2"/>
      </rPr>
      <t>Kontrolle</t>
    </r>
  </si>
  <si>
    <t>Bio VO</t>
  </si>
  <si>
    <t>Tiere I</t>
  </si>
  <si>
    <t>Tiere auf Dauerweiden und Almen</t>
  </si>
  <si>
    <t>P und K auf Weiden</t>
  </si>
  <si>
    <t>P und K auf Almen</t>
  </si>
  <si>
    <t>R-Gülle</t>
  </si>
  <si>
    <t>S-Gülle</t>
  </si>
  <si>
    <t>G-Gülle</t>
  </si>
  <si>
    <t>Jauche</t>
  </si>
  <si>
    <t>Mist</t>
  </si>
  <si>
    <t>Gülle</t>
  </si>
  <si>
    <t>GVE</t>
  </si>
  <si>
    <t>Bestand</t>
  </si>
  <si>
    <t>Stück</t>
  </si>
  <si>
    <t>nährstoffbest. Bestand</t>
  </si>
  <si>
    <t>kg N je Tier / Platz</t>
  </si>
  <si>
    <t>N aus</t>
  </si>
  <si>
    <t>Lagerraumbedarf je Tier / Platz</t>
  </si>
  <si>
    <t>OPUL</t>
  </si>
  <si>
    <t>Phosphor</t>
  </si>
  <si>
    <t>Kali</t>
  </si>
  <si>
    <t>K2O</t>
  </si>
  <si>
    <t>Anzahl aufgtr. Tiere</t>
  </si>
  <si>
    <t>Tage auf Weide</t>
  </si>
  <si>
    <t>Tage auf Almen</t>
  </si>
  <si>
    <t>Ausscheidung</t>
  </si>
  <si>
    <t>N auf Weiden</t>
  </si>
  <si>
    <t>N auf</t>
  </si>
  <si>
    <t>N auf Almen</t>
  </si>
  <si>
    <r>
      <t>P</t>
    </r>
    <r>
      <rPr>
        <b/>
        <vertAlign val="subscript"/>
        <sz val="11"/>
        <rFont val="Trebuchet MS"/>
        <family val="2"/>
      </rPr>
      <t>2</t>
    </r>
    <r>
      <rPr>
        <b/>
        <sz val="11"/>
        <rFont val="Trebuchet MS"/>
        <family val="2"/>
      </rPr>
      <t>O</t>
    </r>
    <r>
      <rPr>
        <b/>
        <vertAlign val="subscript"/>
        <sz val="11"/>
        <rFont val="Trebuchet MS"/>
        <family val="2"/>
      </rPr>
      <t xml:space="preserve">5 </t>
    </r>
  </si>
  <si>
    <r>
      <t>K</t>
    </r>
    <r>
      <rPr>
        <b/>
        <vertAlign val="subscript"/>
        <sz val="11"/>
        <rFont val="Trebuchet MS"/>
        <family val="2"/>
      </rPr>
      <t>2</t>
    </r>
    <r>
      <rPr>
        <b/>
        <sz val="11"/>
        <rFont val="Trebuchet MS"/>
        <family val="2"/>
      </rPr>
      <t>O</t>
    </r>
  </si>
  <si>
    <r>
      <t>P</t>
    </r>
    <r>
      <rPr>
        <b/>
        <vertAlign val="subscript"/>
        <sz val="11"/>
        <rFont val="Trebuchet MS"/>
        <family val="2"/>
      </rPr>
      <t>2</t>
    </r>
    <r>
      <rPr>
        <b/>
        <sz val="11"/>
        <rFont val="Trebuchet MS"/>
        <family val="2"/>
      </rPr>
      <t>O</t>
    </r>
    <r>
      <rPr>
        <b/>
        <vertAlign val="subscript"/>
        <sz val="11"/>
        <rFont val="Trebuchet MS"/>
        <family val="2"/>
      </rPr>
      <t>5</t>
    </r>
  </si>
  <si>
    <t>ÖPUL</t>
  </si>
  <si>
    <t>nähr
stoff
best. Bestand</t>
  </si>
  <si>
    <t xml:space="preserve"> BIO Tiere Obergrenze</t>
  </si>
  <si>
    <t>Austria Biokontrolle</t>
  </si>
  <si>
    <t>Liste_JA</t>
  </si>
  <si>
    <t>Anzahl</t>
  </si>
  <si>
    <t>Tierh.</t>
  </si>
  <si>
    <t xml:space="preserve"> = % Weide</t>
  </si>
  <si>
    <t xml:space="preserve"> = % Alm</t>
  </si>
  <si>
    <t>Weiden</t>
  </si>
  <si>
    <t>Alm</t>
  </si>
  <si>
    <t>GVE auf Alm</t>
  </si>
  <si>
    <t>Anzahl zulässig</t>
  </si>
  <si>
    <t>ha für BIO</t>
  </si>
  <si>
    <t>JA</t>
  </si>
  <si>
    <t>andere Kälber und Jungrinder unter 1/2 Jahr - Gülle</t>
  </si>
  <si>
    <t>NEIN</t>
  </si>
  <si>
    <t>andere Kälber und Jungrinder unter 1/2 Jahr - Mist/Jauche</t>
  </si>
  <si>
    <t>andere Kälber und Jungrinder unter 1/2 Jahr - Tiefstallmist</t>
  </si>
  <si>
    <t>AO8</t>
  </si>
  <si>
    <t>Maßnahmen ja=1</t>
  </si>
  <si>
    <t>Jungvieh 1/2 bis 1 Jahr - Gülle</t>
  </si>
  <si>
    <t>AO9</t>
  </si>
  <si>
    <t>Jungvieh 1/2 bis 1 Jahr - Mist/Jauche</t>
  </si>
  <si>
    <t>AO10</t>
  </si>
  <si>
    <t>Jungvieh 1/2 bis 1 Jahr - Tiefstallmist</t>
  </si>
  <si>
    <t>AO11</t>
  </si>
  <si>
    <t>P-Saldo</t>
  </si>
  <si>
    <t>Jungvieh 1 bis 2 Jahr - Gülle</t>
  </si>
  <si>
    <t>AO12</t>
  </si>
  <si>
    <t>kein P-min.</t>
  </si>
  <si>
    <t>Jungvieh 1 bis 2 Jahr - Mist/Jauche</t>
  </si>
  <si>
    <t>AO13</t>
  </si>
  <si>
    <t>P Mindeststandart</t>
  </si>
  <si>
    <t>Jungvieh 1 bis 2 Jahr - Tiefstallmist</t>
  </si>
  <si>
    <t>AO14</t>
  </si>
  <si>
    <t>Ochsen, Stiere - Gülle</t>
  </si>
  <si>
    <t>AO15</t>
  </si>
  <si>
    <t>Ochsen, Stiere - Mist/Jauche</t>
  </si>
  <si>
    <t>AO16</t>
  </si>
  <si>
    <t>Ochsen, Stiere - Tiefstallmist</t>
  </si>
  <si>
    <t>Kalbinnen - Gülle</t>
  </si>
  <si>
    <t>AK18 - GVE</t>
  </si>
  <si>
    <t>Kalbinnen - Mist/Jauche</t>
  </si>
  <si>
    <t>AK19</t>
  </si>
  <si>
    <t>Kalbinnen - Tiefstallmist</t>
  </si>
  <si>
    <t>AK20 - WRG!!</t>
  </si>
  <si>
    <t>Summen</t>
  </si>
  <si>
    <t>N ab lager</t>
  </si>
  <si>
    <t>Milch- bzw. Mutterkühe (3000 kg Milch)  - Gülle</t>
  </si>
  <si>
    <t>AK21 - WRG</t>
  </si>
  <si>
    <t>feldfallend</t>
  </si>
  <si>
    <t>Teilsumme P auf Weiden</t>
  </si>
  <si>
    <t>Teilsumme K auf Weiden</t>
  </si>
  <si>
    <t>Teilsumme P auf Almen</t>
  </si>
  <si>
    <t>Teilsumme K auf Almen</t>
  </si>
  <si>
    <t>Fläche Betrieb</t>
  </si>
  <si>
    <t>Milch- bzw. Mutterkühe (3000 kg Milch)  - Mist / Jauche</t>
  </si>
  <si>
    <t>Wirtschaftsdüngerkauf   Bezeichnung</t>
  </si>
  <si>
    <t>N / m³ / t</t>
  </si>
  <si>
    <t>P/ m³ / t</t>
  </si>
  <si>
    <t>K / m³ / t</t>
  </si>
  <si>
    <t>m³ / t</t>
  </si>
  <si>
    <t>Jahreswirksam</t>
  </si>
  <si>
    <t xml:space="preserve"> - - -</t>
  </si>
  <si>
    <t>Milch- bzw. Mutterkühe (3000 kg Milch)  - Tiefstallmist</t>
  </si>
  <si>
    <t>Liste Ertragslage</t>
  </si>
  <si>
    <t>Rinder-Gülle</t>
  </si>
  <si>
    <t>Summe N jahresw auf Weiden und Almen</t>
  </si>
  <si>
    <t>Milch- bzw. Ammenkühe (4000 kg Milch)  - Gülle</t>
  </si>
  <si>
    <t>hoch 1</t>
  </si>
  <si>
    <t>Schweine-Gülle</t>
  </si>
  <si>
    <t>bis</t>
  </si>
  <si>
    <t>Milch- bzw. Ammenkühe (4000 kg Milch)  - Mist / Jauche</t>
  </si>
  <si>
    <t>mittel</t>
  </si>
  <si>
    <t>Geflügel-Gülle</t>
  </si>
  <si>
    <t>Milch- bzw. Ammenkühe (4000 kg Milch)  - Tiefstallmist</t>
  </si>
  <si>
    <t>Milchkühe (5000 kg Milch) - Gülle</t>
  </si>
  <si>
    <t>P</t>
  </si>
  <si>
    <t>K</t>
  </si>
  <si>
    <t>Milchkühe (5000 kg Milch) - Mist/Jauche</t>
  </si>
  <si>
    <t>Wirtschaftsdüngerzukauf</t>
  </si>
  <si>
    <t>P und K plus Zukauf</t>
  </si>
  <si>
    <t>Milchkühe (5000 kg Milch) - Tiefstallmist</t>
  </si>
  <si>
    <t>Wirtschaftsdüngerabgang</t>
  </si>
  <si>
    <t>siehe Tabelle Wirtschaftsdüngerverkauf Zelle BF 49</t>
  </si>
  <si>
    <t>P und K auf Weiden und Almen</t>
  </si>
  <si>
    <t>Milchkühe (6000 kg Milch) - Gülle</t>
  </si>
  <si>
    <t>Wirtschaftsdüngerabgang auf Almen</t>
  </si>
  <si>
    <t>siehe  Zelle CD 20</t>
  </si>
  <si>
    <t>Summen abzueglich Weide und Alm</t>
  </si>
  <si>
    <t>Milchkühe (6000 kg Milch) - Mist/Jauche</t>
  </si>
  <si>
    <t>Wirtschaftsdüngeranteil aus org. Düngern</t>
  </si>
  <si>
    <t>siehe unten</t>
  </si>
  <si>
    <t>P incl. Zu- und Verkauf - Weide u. Alm</t>
  </si>
  <si>
    <t>K incl. Zu- und Verkauf -Weide u. Alm</t>
  </si>
  <si>
    <t>Summen abzueglich Weide, Alm und Verkauf</t>
  </si>
  <si>
    <t>Milchkühe (6000 kg Milch) - Tiefstallmist</t>
  </si>
  <si>
    <t>Wirtschaftsdüngerzu- und -abgang</t>
  </si>
  <si>
    <t>P incl. Zu- und Verkauf ohne  Alm</t>
  </si>
  <si>
    <t>P aus Tierhaltung ohne Alm</t>
  </si>
  <si>
    <t>Milchkühe (7000 kg Milch) - Gülle</t>
  </si>
  <si>
    <t>Wirtschaftsdüngerstickstoff ab Lager der am eigenen Betrieb ausgebracht wurde</t>
  </si>
  <si>
    <t>N ab Lager</t>
  </si>
  <si>
    <t>P für Saldo</t>
  </si>
  <si>
    <t>Milchkühe (7000 kg Milch) - Mist/Jauche</t>
  </si>
  <si>
    <t>Milchkühe (7000 kg Milch) - Tiefstallmist</t>
  </si>
  <si>
    <t>Stickstoff auf Weiden und Almen</t>
  </si>
  <si>
    <t>für Grubenberechnung Tab Hofdung Zellen C4-8</t>
  </si>
  <si>
    <t>Milchkühe (8000 kg Milch) - Gülle</t>
  </si>
  <si>
    <t>Summe Tierhaltung + Zukauf abzügl. Weide u Alm</t>
  </si>
  <si>
    <t>Milchkühe (8000 kg Milch) - Mist/Jauche</t>
  </si>
  <si>
    <t>Milchkühe (8000 kg Milch) - Tiefstallmist</t>
  </si>
  <si>
    <t>Milchkühe (9000 kg Milch) - Gülle</t>
  </si>
  <si>
    <t>N gesamt aus Bio-gas und org. Roh-stoffen getrennt in</t>
  </si>
  <si>
    <t>Milchkühe (9000 kg Milch) - Mist/Jauche</t>
  </si>
  <si>
    <t>Rinder gülle</t>
  </si>
  <si>
    <t>Schweine-gülle</t>
  </si>
  <si>
    <t>Geflügel-gülle</t>
  </si>
  <si>
    <t>Jauche Anteil</t>
  </si>
  <si>
    <t>Rotte-   mist</t>
  </si>
  <si>
    <t>Kompost</t>
  </si>
  <si>
    <t>Menge</t>
  </si>
  <si>
    <t>Milchkühe (9000 kg Milch) - Tiefstallmist</t>
  </si>
  <si>
    <t>N aus org Düngern</t>
  </si>
  <si>
    <t>Wirtschaftsdüngerverkauf</t>
  </si>
  <si>
    <t>Nährstoffmengen ab Lager</t>
  </si>
  <si>
    <t xml:space="preserve">        Mengen</t>
  </si>
  <si>
    <t>Milchkühe (&gt; 10.000 kg Milch) - Gülle</t>
  </si>
  <si>
    <t>tierischen Anteil</t>
  </si>
  <si>
    <t>aus:</t>
  </si>
  <si>
    <t>t od.m³</t>
  </si>
  <si>
    <t>P je m³</t>
  </si>
  <si>
    <t>K je m³</t>
  </si>
  <si>
    <t>N</t>
  </si>
  <si>
    <t>N ff.</t>
  </si>
  <si>
    <t>N jw.</t>
  </si>
  <si>
    <t>N-ff</t>
  </si>
  <si>
    <t>Milchkühe (&gt; 10.000 kg Milch) - Mist/Jauche</t>
  </si>
  <si>
    <t>nicht tier. Anteil</t>
  </si>
  <si>
    <t>Grube 1</t>
  </si>
  <si>
    <t>Milchkühe (&gt; 10.000 kg Milch) - Tiefstallmist</t>
  </si>
  <si>
    <t>P2O4 Standard</t>
  </si>
  <si>
    <t xml:space="preserve"> P-reduziert</t>
  </si>
  <si>
    <t>Grube 2</t>
  </si>
  <si>
    <t>Schweine</t>
  </si>
  <si>
    <t>Grube 3</t>
  </si>
  <si>
    <t>Ferkel 8 bis 32 kg Lebendgewicht (LG) Standard-Fütterung - Gülle</t>
  </si>
  <si>
    <t xml:space="preserve">     Ferkel sind bei der Zuchtsau berücksichtigt</t>
  </si>
  <si>
    <t>N-Anfall ab Lager aus Wirtschaftsdüngern</t>
  </si>
  <si>
    <t>Grube 4</t>
  </si>
  <si>
    <t>Ferkel 8 bis 32 kg Lebendgewicht (LG) Standard-Fütterung - Mist/Jauche</t>
  </si>
  <si>
    <t>RG</t>
  </si>
  <si>
    <t>SG</t>
  </si>
  <si>
    <t>GG</t>
  </si>
  <si>
    <t>Rotte-M</t>
  </si>
  <si>
    <t>Mist 1</t>
  </si>
  <si>
    <t>Ferkel 8 bis 32 kg Lebendgewicht (LG) Standard-Fütterung - Tiefstallmist</t>
  </si>
  <si>
    <t>N ab Lager aus eigener Tierhaltung</t>
  </si>
  <si>
    <t>Gesamtumme</t>
  </si>
  <si>
    <t>Mist 2</t>
  </si>
  <si>
    <t>Ferkel 8 bis 32 kg Lebendgewicht (LG) N-reduzierte-Fütterung - Gülle</t>
  </si>
  <si>
    <t>Stickstoffabgang durch Alpung</t>
  </si>
  <si>
    <t>Ferkel 8 bis 32 kg Lebendgewicht (LG) N-reduzierte-Fütterung - Mist/Jauche</t>
  </si>
  <si>
    <r>
      <t>Wirtschaftsdünger-</t>
    </r>
    <r>
      <rPr>
        <b/>
        <sz val="11"/>
        <color indexed="8"/>
        <rFont val="Arial"/>
        <family val="2"/>
      </rPr>
      <t>Kauf:</t>
    </r>
  </si>
  <si>
    <t>Ferkel 8 bis 32 kg Lebendgewicht (LG) N-reduzierte-Fütterung - Tiefstallmist</t>
  </si>
  <si>
    <t>Wirtschaftsdüngeranteil aus Biogasgüllen</t>
  </si>
  <si>
    <t xml:space="preserve">MS + JS ab 32 kg LG bis Mastende/Belegung - Gülle </t>
  </si>
  <si>
    <t>Wi-düanteil aus Biogasgüllen Feststoff</t>
  </si>
  <si>
    <t xml:space="preserve">MS + JS ab 32 kg LG bis Mastende/Belegung - Mist/Jauche </t>
  </si>
  <si>
    <t>Wi-dü-anteil aus Sekundären Rohstoffen</t>
  </si>
  <si>
    <t xml:space="preserve">MS + JS ab 32 kg LG bis Mastende/Belegung - Tiefstallmist </t>
  </si>
  <si>
    <t>N (ab Lager) aus der Tierh. + Zukauf</t>
  </si>
  <si>
    <t>Quersumme</t>
  </si>
  <si>
    <t xml:space="preserve">MS + JS ab 32 kg LG bis Mastende/Belegung -N-reduzierte-Fütterung - Gülle </t>
  </si>
  <si>
    <t>N aus Wirtschaftsdünger-Abgabe laut seitlicher Tabellen</t>
  </si>
  <si>
    <t>Abgabe</t>
  </si>
  <si>
    <t xml:space="preserve">MS + JS ab 32 kg LG bis Mastende/Belegung -N-reduzierte-Fütterung - Mist/Jauche </t>
  </si>
  <si>
    <t>N (ab Lager) aus der Tierh. Incl. aller Zu- und Verkäufe</t>
  </si>
  <si>
    <t xml:space="preserve">MS + JS ab 32 kg LG bis Mastende/Belegung -N-reduzierte-Fütterung - Tiefstallmist </t>
  </si>
  <si>
    <t>-</t>
  </si>
  <si>
    <t>(N ab Lager ohne Weide + Alm)</t>
  </si>
  <si>
    <t xml:space="preserve">MS + JS ab 32 kg LG bis Mastende/Belegung - stark-N-reduzierte-Fütterung - Gülle </t>
  </si>
  <si>
    <t xml:space="preserve">MS + JS ab 32 kg LG bis Mastende/Belegung - stark-N-reduzierte-Fütterung - Mist/Jauche </t>
  </si>
  <si>
    <t>Feldfallender organischer Stickstoff</t>
  </si>
  <si>
    <t xml:space="preserve">MS + JS ab 32 kg LG bis Mastende/Belegung - stark-N-reduzierte-Fütterung - Tiefstallmist </t>
  </si>
  <si>
    <t>Zuchtschweine - Standard-Fütterung - Gülle</t>
  </si>
  <si>
    <t>N-ab Lager aus der Tierh. incl. Zukauf</t>
  </si>
  <si>
    <t>Zuchtschweine - Standard-Fütterung - Mist/Jauche</t>
  </si>
  <si>
    <t>nicht-tier. org. N, wie Biogas-G, Komp., KS, org. Hadü., etc</t>
  </si>
  <si>
    <t>N nichttierisch</t>
  </si>
  <si>
    <t>Zuchtschweine - Standard-Fütterung - Tiefstallmist</t>
  </si>
  <si>
    <t>Organischer N-Anfall ab Lager am Betrieb</t>
  </si>
  <si>
    <t>Summe Org N-Anfall</t>
  </si>
  <si>
    <t>Zuchtschweine - N-reduzierte Fütterung - Gülle</t>
  </si>
  <si>
    <t>Abzugsfaktoren für Ausbringungsverlust</t>
  </si>
  <si>
    <t>Abzugsfaktoren für Ausbringungsverlust  (13 % bei Güllen und  Jauche, 9 % bei Mist und Kompost)</t>
  </si>
  <si>
    <t>Zuchtschweine - N-reduzierte Fütterung - Mist/Jauche</t>
  </si>
  <si>
    <t xml:space="preserve">   &gt; organ. nicht tierisch feldfallend</t>
  </si>
  <si>
    <t>Zuchtschweine - N-reduzierte Fütterung - Tiefstallmist</t>
  </si>
  <si>
    <t>Organischer N-feldfallend</t>
  </si>
  <si>
    <t>Zuchteber - Standard-Fütterung - Gülle</t>
  </si>
  <si>
    <t>N-Einsatz aus Mineraldünger</t>
  </si>
  <si>
    <t>Zuchteber - Standard-Fütterung - Mist/Jauche</t>
  </si>
  <si>
    <t>N feldf.aus Wirtschaftsdünger-Abgabe laut seitlicher Tabellen</t>
  </si>
  <si>
    <t>Zuchteber - Standard-Fütterung - Tiefstallmist</t>
  </si>
  <si>
    <t>N feldfallend am Betrieb Incl. aller Zu- und Abgänge</t>
  </si>
  <si>
    <t>N ff. am Betrieb Gesamtsumme</t>
  </si>
  <si>
    <t>Zuchteber - N-reduzierte Fütterung - Gülle</t>
  </si>
  <si>
    <t>Zuchteber - N-reduzierte Fütterung - Mist/Jauche</t>
  </si>
  <si>
    <t>Jahreswirksamer Stickstoff für alle</t>
  </si>
  <si>
    <t>Zuchteber - N-reduzierte Fütterung - Tiefstallmist</t>
  </si>
  <si>
    <t>Geflügel</t>
  </si>
  <si>
    <t xml:space="preserve">Kücken u. Junghennen für Legezw. bis 1/2 Jahr - Gülle </t>
  </si>
  <si>
    <t>Faktoren Jahreswirksamkeit</t>
  </si>
  <si>
    <t xml:space="preserve">Kücken u. Junghennen für Legezw. bis 1/2 Jahr - Tiefstallmist  </t>
  </si>
  <si>
    <t>Organischer N-jw. in kg</t>
  </si>
  <si>
    <t>Legehennen, Hähne - Gülle</t>
  </si>
  <si>
    <t>N-Einsatz aus Mineraldüngern in kg</t>
  </si>
  <si>
    <t>Legehennen, Hähne - Tiefstallmist</t>
  </si>
  <si>
    <t>N jahresw.aus Wirtschaftsdünger-Abgabe lt. seitlicher Tabellen</t>
  </si>
  <si>
    <t xml:space="preserve"> abzüglich des jahreswirksamen Stickstoffes aus Abgabe</t>
  </si>
  <si>
    <t xml:space="preserve">Mastkücken und Jungmasthühner - 7 Umtriebe </t>
  </si>
  <si>
    <t>N jahreswirksam am Betrieb Incl. aller Zu- und Verkäufe</t>
  </si>
  <si>
    <t>Jahreswirksamer Stickstoff am Betrieb in kg (nach ÖPUL)</t>
  </si>
  <si>
    <t>Zwerghühner, Wachteln; ausgewachsen</t>
  </si>
  <si>
    <t>Jahreswirksamer Stickstoff für Schläge (kein Weide-N)</t>
  </si>
  <si>
    <t>Gänse</t>
  </si>
  <si>
    <t>Enten</t>
  </si>
  <si>
    <t xml:space="preserve">Truthühner (Puten) </t>
  </si>
  <si>
    <t>Pferde, Schafe, Ziegen</t>
  </si>
  <si>
    <t>Kleinpferde (&lt;300 kg, bis 148 cm) 1/2 bis 3 Jahre</t>
  </si>
  <si>
    <t>Kleinpferde (&lt;300 kg) 1/2 bis 3 Jahre</t>
  </si>
  <si>
    <t>Kleinpferde (&lt;300 kg) &gt; 3 Jahre incl. Fohlen bis 1/2 Jahr</t>
  </si>
  <si>
    <t>Kleinpferde (&gt;300 kg, bis 148 cm) 1/2 bis 3 Jahre</t>
  </si>
  <si>
    <t>Kleinpferde (&gt;300 kg) 1/2 bis 3 Jahre</t>
  </si>
  <si>
    <t>Kleinpferde (&gt;300 kg) &gt; 3 Jahre incl. Fohlen bis 1/2 Jahr</t>
  </si>
  <si>
    <t>Pferde (&gt;500 kg, über 148 cm) 1/2 bis 3 Jahre</t>
  </si>
  <si>
    <t>Pferde (&gt;500 kg) 1/2 bis 3 Jahre</t>
  </si>
  <si>
    <t>Pferde (&gt;500 kg)&gt; 3 Jahre incl. Fohlen bis 1/2 Jahr</t>
  </si>
  <si>
    <t>Schafe Lämmer bis 1/2 Jahr</t>
  </si>
  <si>
    <t>Schafe ab 1/2 Jahr bis 1,5 Jahre</t>
  </si>
  <si>
    <t>Mutterschafe</t>
  </si>
  <si>
    <t>Ziegen bis 1/2 Jahr</t>
  </si>
  <si>
    <t>Ziegen ab 1/2 Jahr bis 1,5 Jahre</t>
  </si>
  <si>
    <t>Mutterziegen</t>
  </si>
  <si>
    <t>Weitere Tierarten</t>
  </si>
  <si>
    <t>Rotwild Alttier inkl. Nachzucht bis 14 Monate</t>
  </si>
  <si>
    <t>Rotwild Hirsche</t>
  </si>
  <si>
    <t>Dammwild, Lamas Alpacas - Alttiere inkl. Nachzucht bis 14 Monate</t>
  </si>
  <si>
    <t>Dammwild, Lama, Alpacas Hirsche</t>
  </si>
  <si>
    <t>Straußenküken bis 1/2 Jahr Gülle</t>
  </si>
  <si>
    <t>Straußenküken bis 1/2 Jahr Mist</t>
  </si>
  <si>
    <t>Jungstraußen 0,5 - 1,5 Jahre Gülle</t>
  </si>
  <si>
    <t>Jungstraußen 0,5 - 1,5 Jahre Mist</t>
  </si>
  <si>
    <t>Zuchtstraußenhenne - Gülle</t>
  </si>
  <si>
    <t>Zuchtstraußenhenne - Mist</t>
  </si>
  <si>
    <t>Zuchtstraußenhahn - Gülle</t>
  </si>
  <si>
    <t>Zuchtstraußenhahn - Mist</t>
  </si>
  <si>
    <t>Mastkaninchen - Gülle</t>
  </si>
  <si>
    <t>Mastkaninchen - Tiefstall</t>
  </si>
  <si>
    <t>Zuchtkaninchen - Gülle</t>
  </si>
  <si>
    <t>Zuchtkaninchen - Tiestall</t>
  </si>
  <si>
    <t>Zwergrinder</t>
  </si>
  <si>
    <t>Zwergrind - andere Kälber und Jungrinder unter 1/2 Jahr - Gülle = N abLager</t>
  </si>
  <si>
    <t>Zwergrind - andere Kälber und Jungrinder unter 1/2 Jahr - Gülle</t>
  </si>
  <si>
    <t>Zwergrind - andere Kälber und Jungrinder unter 1/2 Jahr - Mist/Jauche</t>
  </si>
  <si>
    <t>Zwergrind - andere Kälber und Jungrinder unter 1/2 Jahr - Tiefstallmist</t>
  </si>
  <si>
    <t>Zwergrind - Jungvieh 1/2 bis 1 Jahr - Gülle</t>
  </si>
  <si>
    <t>Zwergrind - Jungvieh 1/2 bis 1 Jahr - Mist/Jauche</t>
  </si>
  <si>
    <t>Zwergrind - Jungvieh 1/2 bis 1 Jahr - Tiefstallmist</t>
  </si>
  <si>
    <t>Zwergrind - Jungvieh 1 bis 2 Jahr - Gülle</t>
  </si>
  <si>
    <t>Zwergrind - Jungvieh 1 bis 2 Jahr - Mist/Jauche</t>
  </si>
  <si>
    <t>Zwergrind - Jungvieh 1 bis 2 Jahr - Tiefstallmist</t>
  </si>
  <si>
    <t>Zwergrind - Ochsen, Stiere - Gülle</t>
  </si>
  <si>
    <t>Zwergrind - Ochsen, Stiere - Mist/Jauche</t>
  </si>
  <si>
    <t>Zwergrind - Ochsen, Stiere - Tiefstallmist</t>
  </si>
  <si>
    <t>Zwergrind - Kalbinnen - Gülle</t>
  </si>
  <si>
    <t>Zwergrind - Kalbinnen - Mist/Jauche</t>
  </si>
  <si>
    <t>Zwergrind - Kalbinnen - Tiefstallmist</t>
  </si>
  <si>
    <t>Zwergrind - Milch- bzw. Mutterkühe (3000 kg Milch)  - Gülle</t>
  </si>
  <si>
    <t>Zwergrind - Milch- bzw. Mutterkühe (3000 kg Milch)  - Mist / Jauche</t>
  </si>
  <si>
    <t>Zwergrind - Milch- bzw. Mutterkühe (3000 kg Milch)  - Tiefstallmist</t>
  </si>
  <si>
    <t>Zwergrind - Milch- bzw. Ammenkühe (4000 kg Milch)  - Gülle</t>
  </si>
  <si>
    <t>Zwergrind - Milch- bzw. Ammenkühe (4000 kg Milch)  - Mist / Jauche</t>
  </si>
  <si>
    <t>Zwergrind - Milch- bzw. Ammenkühe (4000 kg Milch)  - Tiefstallmist</t>
  </si>
  <si>
    <t>Zwergrind - Milchkühe (5000 kg Milch) - Gülle</t>
  </si>
  <si>
    <t>Zwergrind - Milchkühe (5000 kg Milch) - Mist/Jauche</t>
  </si>
  <si>
    <t>Zwergrind - Milchkühe (5000 kg Milch) - Tiefstallmist</t>
  </si>
  <si>
    <t>Zwergrind - Milchkühe (6000 kg Milch) - Gülle</t>
  </si>
  <si>
    <t>Zwergrind - Milchkühe (6000 kg Milch) - Mist/Jauche</t>
  </si>
  <si>
    <t>Zwergrind - Milchkühe (6000 kg Milch) - Tiefstallmist</t>
  </si>
  <si>
    <t>Zwergrind - Milchkühe (7000 kg Milch) - Gülle</t>
  </si>
  <si>
    <t>Zwergrind - Milchkühe (7000 kg Milch) - Mist/Jauche</t>
  </si>
  <si>
    <t>Zwergrind - Milchkühe (7000 kg Milch) - Tiefstallmist</t>
  </si>
  <si>
    <t>Zwergrind - Milchkühe (8000 kg Milch) - Gülle</t>
  </si>
  <si>
    <t>Zwergrind - Milchkühe (8000 kg Milch) - Mist/Jauche</t>
  </si>
  <si>
    <t>Zwergrind - Milchkühe (8000 kg Milch) - Tiefstallmist</t>
  </si>
  <si>
    <t>Zwergrind - Milchkühe (9000 kg Milch) - Gülle</t>
  </si>
  <si>
    <t>Zwergrind - Milchkühe (9000 kg Milch) - Mist/Jauche</t>
  </si>
  <si>
    <t>Zwergrind - Milchkühe (9000 kg Milch) - Tiefstallmist</t>
  </si>
  <si>
    <t>Zwergrind - Milchkühe (&gt; 10.000 kg Milch) - Gülle</t>
  </si>
  <si>
    <t>Zwergrind - Milchkühe (&gt; 10.000 kg Milch) - Mist/Jauche</t>
  </si>
  <si>
    <t>Zwergrind - Milchkühe (&gt; 10.000 kg Milch) - Tiefstallmist</t>
  </si>
  <si>
    <t>Durch eine P-reduzierte Fütterung von Geflügel kann der Phosphatgehalt je nach Tiergruppe in einem Ausmaß zwischen 13% und 39% gesenkt werden.</t>
  </si>
  <si>
    <t>Düngerauswahl</t>
  </si>
  <si>
    <t>Menge abz. Abgabe</t>
  </si>
  <si>
    <t>N - feld-fallend</t>
  </si>
  <si>
    <r>
      <t xml:space="preserve"> N </t>
    </r>
    <r>
      <rPr>
        <sz val="9"/>
        <color indexed="8"/>
        <rFont val="Arial"/>
        <family val="2"/>
      </rPr>
      <t>jahresw.</t>
    </r>
  </si>
  <si>
    <t>schnell wirksam</t>
  </si>
  <si>
    <t>tier. Anteil</t>
  </si>
  <si>
    <t>Zu-ord-nung</t>
  </si>
  <si>
    <t>Summe N</t>
  </si>
  <si>
    <t>Summe P</t>
  </si>
  <si>
    <t>Summe K</t>
  </si>
  <si>
    <t>Düngertabelle</t>
  </si>
  <si>
    <t>Menge   kg od. m³</t>
  </si>
  <si>
    <t>N - feldfall.</t>
  </si>
  <si>
    <t>N jahresw.</t>
  </si>
  <si>
    <t>P    jahresw.</t>
  </si>
  <si>
    <t>K   jahresw.</t>
  </si>
  <si>
    <t>WD</t>
  </si>
  <si>
    <t>P org</t>
  </si>
  <si>
    <t>K org</t>
  </si>
  <si>
    <t>HD</t>
  </si>
  <si>
    <t>Prüfungen:</t>
  </si>
  <si>
    <t xml:space="preserve">kleiner =-10; gleich=0; größer = 3 </t>
  </si>
  <si>
    <t>Differenz</t>
  </si>
  <si>
    <t>angelegte Dünger im Vergleich zu N_Berechnung ohne W+A</t>
  </si>
  <si>
    <t>0 = Ok!</t>
  </si>
  <si>
    <t xml:space="preserve">N / P / K angelegt + Weide </t>
  </si>
  <si>
    <t>N jw</t>
  </si>
  <si>
    <t>sw.</t>
  </si>
  <si>
    <t>Summen:</t>
  </si>
  <si>
    <t>Updates sind erhältlich                                             im Internet unter:</t>
  </si>
  <si>
    <t xml:space="preserve">  ►</t>
  </si>
  <si>
    <t>http://www.ooe.lko.at/</t>
  </si>
  <si>
    <t>Programmbeschreibung</t>
  </si>
  <si>
    <t>Nutzungshinweise:</t>
  </si>
  <si>
    <t>Änderungen</t>
  </si>
  <si>
    <t>Versionshinweise</t>
  </si>
  <si>
    <t>Es wird von den Landwirtschaftskammern, dem Ersteller und dem Agrarnet keinerlei Haftung  bezüglich Softwareproblemen, Berechnungsfehler usw. und eventuellen Sanktionen durch die AMA wegen fehlerhafter Berechnungen übernommen.</t>
  </si>
  <si>
    <t>veröffentlicht</t>
  </si>
  <si>
    <t>System Immergrün neue Berechnung</t>
  </si>
  <si>
    <t>Flächenbezug (GVE/ha und P/ha) korrigiert</t>
  </si>
  <si>
    <t>Häufige Fragen!</t>
  </si>
  <si>
    <t xml:space="preserve">Trotz sorgfältiger Prüfung aller Tabellen und Rechnungsschritte sind Fehler nicht ausgeschlossen, das Ergebnis ist ohne Gewähr, es wird keinerlei Haftung übernommen und es lässt sich durch diese Berechnungen kein Anspruch auf Einhaltung der ÖPUL-Richtlinien ableiten. </t>
  </si>
  <si>
    <t xml:space="preserve"> Weideblatt eingefügt</t>
  </si>
  <si>
    <t>Blattschutz</t>
  </si>
  <si>
    <t>Pass- oder Kennwort?</t>
  </si>
  <si>
    <t>Es wird zum Gebrauch dieses Programmes kein Passwort oder Kennwort benötigt. 
Sollten sich keine Eingaben machen lassen und ein Kennwort verlangt werden, 
ist die Datei vielleicht schreibgeschützt oder es sind mehrere Tabellenblätter markiert. 
Nach dem Aufheben des Schreibschutzes oder der Mehrfach-Markierungen müsste eine Bearbeitung wieder möglich sein.</t>
  </si>
  <si>
    <t>Fragen und Anregungen an:</t>
  </si>
  <si>
    <t>johannes.recheis-kienesberger@lk-ooe.at</t>
  </si>
  <si>
    <t xml:space="preserve">Steiermark:  heinrich.holzner@lk-stmk.at </t>
  </si>
  <si>
    <t>NÖ: josef.springer@lk-noe.at</t>
  </si>
  <si>
    <t>Drucken</t>
  </si>
  <si>
    <t>Es sind auf allen Tabellenblättern Druckbereiche festgelegt. Diese können über die Befehle "Druckbereich festlegen oder aufheben" verändert werden. Diese Befehle sind im Menü Seitenlayout bzw.  im alten Excel im Menü Datei / Druckbereich zu finden.</t>
  </si>
  <si>
    <t>Hinweise zur Orientierung</t>
  </si>
  <si>
    <t>Stellen Sie auf den Blättern über das Menü Ansicht &gt; Zoom jenen Zoomfaktor ein, der Ihnen ein gutes Arbeiten erlaubt.</t>
  </si>
  <si>
    <t>Daten ins nächste Jahr übertragen?</t>
  </si>
  <si>
    <t>Mit dieser Exceldatei können die Daten nicht in ein neues Aufzeichnungsjahr übernommen werden. Es muss jedes Jahr eine neue Excel-Datei angelegt werden. Es ist ratsam, eine neue aktualisierte Datei aus dem Internet herunterzuladen. Man kann Tierlisten und Flächenlisten aus der alten Datei durch Kopieren und Einfügen in die neue Datei übertragen.</t>
  </si>
  <si>
    <t>in den rosa Zellen befinden sich Berechnungsfaktoren</t>
  </si>
  <si>
    <t>in den blauen Zellen sind Berechnungsergebnisse</t>
  </si>
  <si>
    <t>Fehlermeldungen</t>
  </si>
  <si>
    <t>Fehlerbehebung</t>
  </si>
  <si>
    <t>Wichtige Zellen wurden gelöscht oder verschoben, das Programm kann den Bezug zu diesen Zellen nicht mehr herstellen und daher nicht mehr berechnen.</t>
  </si>
  <si>
    <t>#NV bedeutet "Nicht vorhanden", das heißt es fehlen Angaben, oder sind wieder gelöscht oder verändert  worden und sind jetzt nicht mehr vorhanden!</t>
  </si>
  <si>
    <t>◄</t>
  </si>
  <si>
    <t>►</t>
  </si>
  <si>
    <t xml:space="preserve">Betriebsnummer </t>
  </si>
  <si>
    <t>Erntejahr</t>
  </si>
  <si>
    <t>Name</t>
  </si>
  <si>
    <t>Straße</t>
  </si>
  <si>
    <t>PLZ, Ort</t>
  </si>
  <si>
    <t>Tel. / Email:</t>
  </si>
  <si>
    <t xml:space="preserve">Landwirtschaftliche Nutzfläche - LN: </t>
  </si>
  <si>
    <t>Teilnahme am ÖPUL 2015</t>
  </si>
  <si>
    <t>Gesamte LN laut MFA-Flächennutzung:</t>
  </si>
  <si>
    <t>ha</t>
  </si>
  <si>
    <t>Teilnahme Maßnahme Bio</t>
  </si>
  <si>
    <t>Summe aller Ackerflächen</t>
  </si>
  <si>
    <t>Meine Fruchtfolge ist stickstoffzehrend!</t>
  </si>
  <si>
    <t>Summe des Dauergrün- und Dauerweidelandes</t>
  </si>
  <si>
    <t>* Eine Fruchtfolge ist stickstoffzehrend, wenn 2/3 des Ackers nicht mit Leguminosen, Braugerste, Sonnenblumen oder Öllein bebaut ist</t>
  </si>
  <si>
    <t>Summe aller Dauer- und Spezialkulturen, wie Obst, Hopfen, Wein, Reb- und Baumschulen und Energieholzflächen</t>
  </si>
  <si>
    <t>Andere gedüngte Flächen, die nicht ÖPUL-LN sind  (wie zB. Energieholzflächen oder Christbaumkulturen)</t>
  </si>
  <si>
    <t>Kurzanleitung</t>
  </si>
  <si>
    <t xml:space="preserve">Summe landwirtschaftliche Nutzfläche in ha    </t>
  </si>
  <si>
    <r>
      <t xml:space="preserve">Gesamtbetriebliche Aufzeichnungen </t>
    </r>
    <r>
      <rPr>
        <sz val="10"/>
        <rFont val="Arial"/>
        <family val="2"/>
      </rPr>
      <t>laut Aktionsprogramm 2012, § 7</t>
    </r>
  </si>
  <si>
    <r>
      <t xml:space="preserve">Über die Bewirtschaftung sind ab 1. Jänner 2015 folgende Daten zu dokumentieren:    
1. die Größe der landw. Nutzfläche;
2. die Stickstoffmenge aus Wirtschaftsdünger nach Abzug der Stall- und 
    Lagerverluste, die
a) am Betrieb anfiel, 
b) an andere Betriebe abgegeben oder von anderen Betrieben übernommen wurde
c)  und auf der eigenen landw. Nutzfläche ausgebracht wurde; 
3. die auf der eigenen Nutzfläche ausgebrachte Stickstoffmenge aus allen Düngern
    in feldfallender und jahreswirksamer Menge; 
4. der Stickstoffbedarf der angebauten Kulturen unter Berücksichtigung der 
    Vorfruchtwirkung und der Größe der Anbaufläche.  
• </t>
    </r>
    <r>
      <rPr>
        <b/>
        <sz val="10"/>
        <color indexed="8"/>
        <rFont val="Arial"/>
        <family val="2"/>
      </rPr>
      <t>Ausgenommen sind Betriebe:</t>
    </r>
    <r>
      <rPr>
        <sz val="10"/>
        <color indexed="8"/>
        <rFont val="Arial"/>
        <family val="2"/>
      </rPr>
      <t xml:space="preserve"> 
  mit höchstens 5 Hektar, wenn auf weniger als 2 ha Gemüse oder Wein angebaut 
  wird oder deren Nutzfläche (ohne Alm) höchstens 15 ha beträgt, sofern mehr 
  als 90% als Dauergrünland oder Wechselwiese genutz wird. 
• Die Daten sind bis längstens 31. März für das jeweils vorangegeangene Jahr zu 
  dokumentieren.</t>
    </r>
  </si>
  <si>
    <r>
      <t xml:space="preserve">Mit dem Ausdruck des Tabellenblattes "Ergebnis" 
sind obige Punkte dokumentiert. 
</t>
    </r>
    <r>
      <rPr>
        <sz val="10"/>
        <color indexed="8"/>
        <rFont val="Arial"/>
        <family val="2"/>
      </rPr>
      <t xml:space="preserve">Die Plausibilität des Ergebnisses kann mit den Blättern "Tiere", 
"Mineral", "N_Bedarf" und "Organ_Dü" untermauert werden. </t>
    </r>
  </si>
  <si>
    <t>http://www.bwsb.at/?+OEDuePLan+Update+&amp;id=2500,,1783344,5491</t>
  </si>
  <si>
    <t xml:space="preserve"> Nährstoffanfall ab Lager aus der Tierhaltung   </t>
  </si>
  <si>
    <t>Anmerkung zur Berechnung des Durchschnittstierbestandes &gt;&gt;&gt;</t>
  </si>
  <si>
    <t>Anmerkung zur Berechnung des Durchschnittstierbestandes</t>
  </si>
  <si>
    <t>Tiere im Stall  &gt;&gt;</t>
  </si>
  <si>
    <r>
      <t xml:space="preserve">     davon sind auf</t>
    </r>
    <r>
      <rPr>
        <b/>
        <sz val="9"/>
        <rFont val="Arial"/>
        <family val="2"/>
      </rPr>
      <t xml:space="preserve"> Dauerweiden und Almen</t>
    </r>
  </si>
  <si>
    <t>Durchschnittstierliste</t>
  </si>
  <si>
    <r>
      <t>Ø</t>
    </r>
    <r>
      <rPr>
        <sz val="9"/>
        <rFont val="Arial"/>
        <family val="2"/>
      </rPr>
      <t xml:space="preserve"> 
</t>
    </r>
    <r>
      <rPr>
        <b/>
        <sz val="9"/>
        <rFont val="Arial"/>
        <family val="2"/>
      </rPr>
      <t>Stück</t>
    </r>
    <r>
      <rPr>
        <sz val="9"/>
        <rFont val="Arial"/>
        <family val="2"/>
      </rPr>
      <t xml:space="preserve">/
</t>
    </r>
    <r>
      <rPr>
        <sz val="8"/>
        <rFont val="Arial"/>
        <family val="2"/>
      </rPr>
      <t>Stallplätze</t>
    </r>
  </si>
  <si>
    <t>nährstoff-best. Bestand</t>
  </si>
  <si>
    <r>
      <t>Anzahl</t>
    </r>
    <r>
      <rPr>
        <b/>
        <sz val="9"/>
        <rFont val="Arial"/>
        <family val="2"/>
      </rPr>
      <t xml:space="preserve"> Tiere</t>
    </r>
  </si>
  <si>
    <r>
      <t xml:space="preserve">Anzahl </t>
    </r>
    <r>
      <rPr>
        <b/>
        <sz val="9"/>
        <rFont val="Arial"/>
        <family val="2"/>
      </rPr>
      <t>Tage</t>
    </r>
  </si>
  <si>
    <t xml:space="preserve">N </t>
  </si>
  <si>
    <r>
      <t>P</t>
    </r>
    <r>
      <rPr>
        <b/>
        <vertAlign val="subscript"/>
        <sz val="9"/>
        <rFont val="Trebuchet MS"/>
        <family val="2"/>
      </rPr>
      <t>2</t>
    </r>
    <r>
      <rPr>
        <b/>
        <sz val="9"/>
        <rFont val="Trebuchet MS"/>
        <family val="2"/>
      </rPr>
      <t>O</t>
    </r>
    <r>
      <rPr>
        <b/>
        <vertAlign val="subscript"/>
        <sz val="9"/>
        <rFont val="Trebuchet MS"/>
        <family val="2"/>
      </rPr>
      <t>5</t>
    </r>
  </si>
  <si>
    <r>
      <t>K</t>
    </r>
    <r>
      <rPr>
        <b/>
        <vertAlign val="subscript"/>
        <sz val="9"/>
        <rFont val="Trebuchet MS"/>
        <family val="2"/>
      </rPr>
      <t>2</t>
    </r>
    <r>
      <rPr>
        <b/>
        <sz val="9"/>
        <rFont val="Trebuchet MS"/>
        <family val="2"/>
      </rPr>
      <t>O</t>
    </r>
  </si>
  <si>
    <t>Lagerraumbedarf für</t>
  </si>
  <si>
    <t>Stickstoff auf</t>
  </si>
  <si>
    <t>Ein Kalb ergibt sich aus im Durchschnitt zB. 4 Kälber 12 Wochen, oder 8 Kälber nur 6 Wochen am Betrieb</t>
  </si>
  <si>
    <t xml:space="preserve">phosphorreduzierte Fütterung in der Schweinehaltung  ja / nein ? </t>
  </si>
  <si>
    <t>Dauerweiden</t>
  </si>
  <si>
    <t>auf Almen</t>
  </si>
  <si>
    <t>ab Lager aus der Tierhaltung</t>
  </si>
  <si>
    <t>Dauer-weiden</t>
  </si>
  <si>
    <t>Almen</t>
  </si>
  <si>
    <r>
      <t>Aufteilung bei Stiermast</t>
    </r>
    <r>
      <rPr>
        <sz val="10"/>
        <color indexed="8"/>
        <rFont val="Arial"/>
        <family val="2"/>
      </rPr>
      <t>: 20 % Kälber, 40 % Jungvieh 1/2 bis 1 Jahr, 40 % 1 bis 2 Jahre</t>
    </r>
  </si>
  <si>
    <t>Die Milchleistung je Kuh berchnet sich aus gelieferter u. direkt vermarkteter, zuzüglich 320 kg je Kuh für verfütterter und verbrauchter Milch,</t>
  </si>
  <si>
    <t>Die Milchleistung reicht bei 4.000 kg von 3.500 - 4.499 usw…</t>
  </si>
  <si>
    <t>Die Ferkelanzahl ergibt sich bei :</t>
  </si>
  <si>
    <t xml:space="preserve">unter 18 verkaufte Ferkel = Zuchtsauen x 2,6    </t>
  </si>
  <si>
    <t>18 - 20 Ferkel = Zuchtsauen x 2,9</t>
  </si>
  <si>
    <t>über 20 Ferkel = Zuchtsauen x 3,2</t>
  </si>
  <si>
    <t>Bei Mastschweinen:</t>
  </si>
  <si>
    <t>ist der Jahresdurchschnittstierbestand anzugeben, siehe Tabellenblatt "Schw_Geflügel"</t>
  </si>
  <si>
    <t>oder Durchschnittstierbestand = belegte Stallplätze x Umtriebe x Haltedauer in Tage / 365</t>
  </si>
  <si>
    <t>Der Nährstoffbestimmende Bestand beim Mastschwein ist Tierliste x 1,26</t>
  </si>
  <si>
    <t>Bei Geflügel gilt:</t>
  </si>
  <si>
    <t>Kücken u. Junghennen  - 130 Haltetage pro Umtrieb &gt;&gt; 2,0 Umtriebe</t>
  </si>
  <si>
    <t>Legehennen und Hähne - Jahresbestand inkl. Ø  Leerstehzeit von 14 Tagen</t>
  </si>
  <si>
    <t xml:space="preserve">Summe Nährstoffe aus der Tierhaltung: </t>
  </si>
  <si>
    <t>Truthühner -  150 Haltetage pro Umtrieb &gt;&gt; 2,0 Umtriebe</t>
  </si>
  <si>
    <t xml:space="preserve">▀  </t>
  </si>
  <si>
    <t>* bitte am Tabellenblatt "Hofdung" die Mengen berechnen und eingeben</t>
  </si>
  <si>
    <r>
      <t xml:space="preserve">N </t>
    </r>
    <r>
      <rPr>
        <sz val="9"/>
        <rFont val="Arial"/>
        <family val="2"/>
      </rPr>
      <t>/ m³</t>
    </r>
    <r>
      <rPr>
        <b/>
        <sz val="9"/>
        <rFont val="Arial"/>
        <family val="2"/>
      </rPr>
      <t xml:space="preserve"> 
</t>
    </r>
    <r>
      <rPr>
        <sz val="8"/>
        <rFont val="Arial"/>
        <family val="2"/>
      </rPr>
      <t>ab Lager</t>
    </r>
  </si>
  <si>
    <r>
      <t xml:space="preserve">N </t>
    </r>
    <r>
      <rPr>
        <sz val="9"/>
        <rFont val="Arial"/>
        <family val="2"/>
      </rPr>
      <t xml:space="preserve">/ m³
</t>
    </r>
    <r>
      <rPr>
        <sz val="8"/>
        <rFont val="Arial"/>
        <family val="2"/>
      </rPr>
      <t>feldfallend</t>
    </r>
  </si>
  <si>
    <r>
      <t>N</t>
    </r>
    <r>
      <rPr>
        <sz val="9"/>
        <rFont val="Arial"/>
        <family val="2"/>
      </rPr>
      <t xml:space="preserve"> / m³
</t>
    </r>
    <r>
      <rPr>
        <sz val="8"/>
        <rFont val="Arial"/>
        <family val="2"/>
      </rPr>
      <t>jahresw.</t>
    </r>
  </si>
  <si>
    <r>
      <t>P</t>
    </r>
    <r>
      <rPr>
        <b/>
        <vertAlign val="subscript"/>
        <sz val="9"/>
        <rFont val="Arial"/>
        <family val="2"/>
      </rPr>
      <t>2</t>
    </r>
    <r>
      <rPr>
        <b/>
        <sz val="9"/>
        <rFont val="Arial"/>
        <family val="2"/>
      </rPr>
      <t>O</t>
    </r>
    <r>
      <rPr>
        <b/>
        <vertAlign val="subscript"/>
        <sz val="9"/>
        <rFont val="Arial"/>
        <family val="2"/>
      </rPr>
      <t xml:space="preserve">5
</t>
    </r>
    <r>
      <rPr>
        <sz val="8"/>
        <rFont val="Arial"/>
        <family val="2"/>
      </rPr>
      <t>je m³</t>
    </r>
  </si>
  <si>
    <r>
      <t xml:space="preserve">Kali
</t>
    </r>
    <r>
      <rPr>
        <sz val="9"/>
        <rFont val="Arial"/>
        <family val="2"/>
      </rPr>
      <t>je m³</t>
    </r>
  </si>
  <si>
    <r>
      <t xml:space="preserve">Menge N 
</t>
    </r>
    <r>
      <rPr>
        <sz val="9"/>
        <rFont val="Arial"/>
        <family val="2"/>
      </rPr>
      <t>ab Lager</t>
    </r>
  </si>
  <si>
    <t>Menge
N feldf.</t>
  </si>
  <si>
    <r>
      <t xml:space="preserve">Menge 
</t>
    </r>
    <r>
      <rPr>
        <sz val="9"/>
        <rFont val="Arial"/>
        <family val="2"/>
      </rPr>
      <t>N jw</t>
    </r>
  </si>
  <si>
    <r>
      <t>Menge
P</t>
    </r>
    <r>
      <rPr>
        <vertAlign val="subscript"/>
        <sz val="8"/>
        <rFont val="Arial"/>
        <family val="2"/>
      </rPr>
      <t>2</t>
    </r>
    <r>
      <rPr>
        <sz val="8"/>
        <rFont val="Arial"/>
        <family val="2"/>
      </rPr>
      <t>O</t>
    </r>
    <r>
      <rPr>
        <vertAlign val="subscript"/>
        <sz val="8"/>
        <rFont val="Arial"/>
        <family val="2"/>
      </rPr>
      <t xml:space="preserve">5 </t>
    </r>
  </si>
  <si>
    <r>
      <t>Menge
K</t>
    </r>
    <r>
      <rPr>
        <vertAlign val="subscript"/>
        <sz val="8"/>
        <rFont val="Arial"/>
        <family val="2"/>
      </rPr>
      <t>2</t>
    </r>
    <r>
      <rPr>
        <sz val="8"/>
        <rFont val="Arial"/>
        <family val="2"/>
      </rPr>
      <t>O</t>
    </r>
  </si>
  <si>
    <t>Wirtschaftsdünger Zukauf</t>
  </si>
  <si>
    <t>Nährstoffe je m³ oder t</t>
  </si>
  <si>
    <t>Nährstoffe gesamt</t>
  </si>
  <si>
    <t>Die Anzahl der Lämmer ergibt sich aus Mutterschafe x Faktor (aufgezogene Lämmer x Haltedauer  dividiert durch 12 Monate)</t>
  </si>
  <si>
    <t>Ziegenlämmer werden wie  Schafe gerechnet</t>
  </si>
  <si>
    <t>Kaninchen - 6,89 Umtriebe zu je 53 Aufmasttagen</t>
  </si>
  <si>
    <t>Wirtschaftsdüngerabgang durch Alpung und Fremdweiden</t>
  </si>
  <si>
    <t>Kennzahlen</t>
  </si>
  <si>
    <t>GVE je ha</t>
  </si>
  <si>
    <t>Vorhandener Lagerraum</t>
  </si>
  <si>
    <r>
      <t>Lagerraumbedarf</t>
    </r>
    <r>
      <rPr>
        <b/>
        <sz val="9"/>
        <rFont val="Arial"/>
        <family val="2"/>
      </rPr>
      <t xml:space="preserve"> </t>
    </r>
    <r>
      <rPr>
        <sz val="9"/>
        <rFont val="Arial"/>
        <family val="2"/>
      </rPr>
      <t xml:space="preserve">für 6 Monate gemäß Aktionsprogramm </t>
    </r>
  </si>
  <si>
    <t>Summe GVE</t>
  </si>
  <si>
    <t>Gülle  und Jauche:</t>
  </si>
  <si>
    <t>m³</t>
  </si>
  <si>
    <t>Gülle / Jauche</t>
  </si>
  <si>
    <r>
      <t>N-Anfall am Lager -</t>
    </r>
    <r>
      <rPr>
        <sz val="10"/>
        <rFont val="Arial"/>
        <family val="2"/>
      </rPr>
      <t>170 kg N aus WD</t>
    </r>
  </si>
  <si>
    <t>kg N     &gt;</t>
  </si>
  <si>
    <t>Stickstoffeinsatz feldfallend</t>
  </si>
  <si>
    <t>Mist-Stapelfläche:</t>
  </si>
  <si>
    <t xml:space="preserve">m² </t>
  </si>
  <si>
    <t>m²</t>
  </si>
  <si>
    <t>Saldo N-Bedarf</t>
  </si>
  <si>
    <t xml:space="preserve">Stapelhöhe:   </t>
  </si>
  <si>
    <t xml:space="preserve">m </t>
  </si>
  <si>
    <t>* Die Nährstoffausscheidungen auf Almen und Weiden werden nicht zu den Hofdüngern gezählt, sondern werden am Düngerblatt extra angeführt!</t>
  </si>
  <si>
    <t>Einbindung  von Biogasgülle und Sekundärrohstoffen</t>
  </si>
  <si>
    <t>Biogasgüllen</t>
  </si>
  <si>
    <t>Wirksamkeit je nach Ammoniumanteil</t>
  </si>
  <si>
    <t>Ermittlung des N-Gehaltes von Komposten etc..</t>
  </si>
  <si>
    <t>Klärung ob Angaben in t oder m³</t>
  </si>
  <si>
    <t>bitte eine Bezeichnung eingeben!</t>
  </si>
  <si>
    <t>N / m³</t>
  </si>
  <si>
    <r>
      <t>P</t>
    </r>
    <r>
      <rPr>
        <vertAlign val="subscript"/>
        <sz val="11"/>
        <color indexed="8"/>
        <rFont val="Arial"/>
        <family val="2"/>
      </rPr>
      <t>2</t>
    </r>
    <r>
      <rPr>
        <sz val="11"/>
        <color indexed="8"/>
        <rFont val="Arial"/>
        <family val="2"/>
      </rPr>
      <t>O</t>
    </r>
    <r>
      <rPr>
        <vertAlign val="subscript"/>
        <sz val="11"/>
        <color indexed="8"/>
        <rFont val="Arial"/>
        <family val="2"/>
      </rPr>
      <t>5</t>
    </r>
    <r>
      <rPr>
        <sz val="11"/>
        <color indexed="8"/>
        <rFont val="Arial"/>
        <family val="2"/>
      </rPr>
      <t xml:space="preserve"> / m³</t>
    </r>
  </si>
  <si>
    <r>
      <t>K</t>
    </r>
    <r>
      <rPr>
        <vertAlign val="subscript"/>
        <sz val="11"/>
        <color indexed="8"/>
        <rFont val="Arial"/>
        <family val="2"/>
      </rPr>
      <t>2</t>
    </r>
    <r>
      <rPr>
        <sz val="11"/>
        <color indexed="8"/>
        <rFont val="Arial"/>
        <family val="2"/>
      </rPr>
      <t>O / m³</t>
    </r>
  </si>
  <si>
    <t>% aus Tierhaltung</t>
  </si>
  <si>
    <r>
      <t>kg NH</t>
    </r>
    <r>
      <rPr>
        <vertAlign val="subscript"/>
        <sz val="11"/>
        <color indexed="8"/>
        <rFont val="Arial"/>
        <family val="2"/>
      </rPr>
      <t>4</t>
    </r>
    <r>
      <rPr>
        <sz val="11"/>
        <color indexed="8"/>
        <rFont val="Arial"/>
        <family val="2"/>
      </rPr>
      <t>-N</t>
    </r>
  </si>
  <si>
    <t>N ges</t>
  </si>
  <si>
    <t>Phos-phor</t>
  </si>
  <si>
    <r>
      <t>NH</t>
    </r>
    <r>
      <rPr>
        <vertAlign val="subscript"/>
        <sz val="11"/>
        <color indexed="8"/>
        <rFont val="Arial"/>
        <family val="2"/>
      </rPr>
      <t>4</t>
    </r>
    <r>
      <rPr>
        <sz val="11"/>
        <color indexed="8"/>
        <rFont val="Arial"/>
        <family val="2"/>
      </rPr>
      <t>-N</t>
    </r>
  </si>
  <si>
    <t>Wirksamkeit</t>
  </si>
  <si>
    <t>Die Angaben auf Untersuchungszeugnissen sind je nach Labor unterschiedlich.</t>
  </si>
  <si>
    <t>Zu beachten ist, ob der Stickstoff in kg oder % der TM oder FM angegeben ist.</t>
  </si>
  <si>
    <t>Trockensubstanz (TS) = Trockenmasse (TM), bzw Frischsubstanz (FS) = Frischmasse (FM)</t>
  </si>
  <si>
    <t>Angaben in % in der Trockenmasse ™ und Feuchtdichte</t>
  </si>
  <si>
    <t>TS in %</t>
  </si>
  <si>
    <r>
      <t>N</t>
    </r>
    <r>
      <rPr>
        <vertAlign val="subscript"/>
        <sz val="12"/>
        <color indexed="8"/>
        <rFont val="Arial"/>
        <family val="2"/>
      </rPr>
      <t>ges</t>
    </r>
    <r>
      <rPr>
        <sz val="12"/>
        <color indexed="8"/>
        <rFont val="Arial"/>
        <family val="2"/>
      </rPr>
      <t xml:space="preserve"> in % TM</t>
    </r>
  </si>
  <si>
    <t>N in FS</t>
  </si>
  <si>
    <t>kg N / t</t>
  </si>
  <si>
    <t>Feuchtdichte</t>
  </si>
  <si>
    <t>kg N / m³</t>
  </si>
  <si>
    <t>Biogas - Feststoffseparat</t>
  </si>
  <si>
    <t>Angaben in % in der Trockenmasse (TM)</t>
  </si>
  <si>
    <t>Raumgewicht</t>
  </si>
  <si>
    <t>Sekundäre Rohstoffe</t>
  </si>
  <si>
    <t>wie zB. Klärschlamm, Biokompost, etc…</t>
  </si>
  <si>
    <t>Angaben in % in der Frischmasse (FM)</t>
  </si>
  <si>
    <r>
      <t>N</t>
    </r>
    <r>
      <rPr>
        <vertAlign val="subscript"/>
        <sz val="12"/>
        <color indexed="8"/>
        <rFont val="Arial"/>
        <family val="2"/>
      </rPr>
      <t>ges</t>
    </r>
    <r>
      <rPr>
        <sz val="12"/>
        <color indexed="8"/>
        <rFont val="Arial"/>
        <family val="2"/>
      </rPr>
      <t xml:space="preserve"> in % FM</t>
    </r>
  </si>
  <si>
    <t>in % FM</t>
  </si>
  <si>
    <t>g/kg FM</t>
  </si>
  <si>
    <t>weitere Einträge für organische Dünger und Stoffe</t>
  </si>
  <si>
    <r>
      <t>Raumgewicht</t>
    </r>
    <r>
      <rPr>
        <sz val="12"/>
        <color indexed="8"/>
        <rFont val="Profile-RegularItalic"/>
        <family val="4"/>
      </rPr>
      <t xml:space="preserve"> von Wirtschaftsdüngern und Komposten laut Tabelle 50 SGD 6. Auflage  </t>
    </r>
  </si>
  <si>
    <t>Name des Produktes</t>
  </si>
  <si>
    <t>Menge      m³ / t</t>
  </si>
  <si>
    <t>N   je      m³ / t</t>
  </si>
  <si>
    <r>
      <t>P</t>
    </r>
    <r>
      <rPr>
        <vertAlign val="subscript"/>
        <sz val="11"/>
        <color indexed="8"/>
        <rFont val="Arial"/>
        <family val="2"/>
      </rPr>
      <t>2</t>
    </r>
    <r>
      <rPr>
        <sz val="11"/>
        <color indexed="8"/>
        <rFont val="Arial"/>
        <family val="2"/>
      </rPr>
      <t>O</t>
    </r>
    <r>
      <rPr>
        <vertAlign val="subscript"/>
        <sz val="11"/>
        <color indexed="8"/>
        <rFont val="Arial"/>
        <family val="2"/>
      </rPr>
      <t xml:space="preserve">5                 </t>
    </r>
    <r>
      <rPr>
        <sz val="11"/>
        <color indexed="8"/>
        <rFont val="Arial"/>
        <family val="2"/>
      </rPr>
      <t xml:space="preserve"> je  m³ / t</t>
    </r>
  </si>
  <si>
    <r>
      <t>K</t>
    </r>
    <r>
      <rPr>
        <vertAlign val="subscript"/>
        <sz val="12"/>
        <color indexed="8"/>
        <rFont val="Arial"/>
        <family val="2"/>
      </rPr>
      <t>2</t>
    </r>
    <r>
      <rPr>
        <sz val="12"/>
        <color indexed="8"/>
        <rFont val="Arial"/>
        <family val="2"/>
      </rPr>
      <t>O         je m³ / t</t>
    </r>
  </si>
  <si>
    <t>Wirksamkeit beachten</t>
  </si>
  <si>
    <t xml:space="preserve">t / m³ </t>
  </si>
  <si>
    <t xml:space="preserve">m³ / t </t>
  </si>
  <si>
    <t>zB. Klärschlamm flüssig, org. Handelsdünger &lt; 15% TS</t>
  </si>
  <si>
    <r>
      <t>wie Rindergülle</t>
    </r>
    <r>
      <rPr>
        <sz val="10"/>
        <color indexed="8"/>
        <rFont val="Arial"/>
        <family val="2"/>
      </rPr>
      <t xml:space="preserve">   </t>
    </r>
    <r>
      <rPr>
        <sz val="12"/>
        <color indexed="8"/>
        <rFont val="Arial"/>
        <family val="2"/>
      </rPr>
      <t xml:space="preserve">   </t>
    </r>
    <r>
      <rPr>
        <sz val="14"/>
        <color indexed="8"/>
        <rFont val="Arial"/>
        <family val="2"/>
      </rPr>
      <t xml:space="preserve">             </t>
    </r>
    <r>
      <rPr>
        <sz val="11"/>
        <color indexed="8"/>
        <rFont val="Arial"/>
        <family val="2"/>
      </rPr>
      <t xml:space="preserve">  ( weniger als 15% TS) </t>
    </r>
  </si>
  <si>
    <t xml:space="preserve">Flüssige Wirtschaftsdünger </t>
  </si>
  <si>
    <t>zB. Carbokalk, Klär-schlamm abgepresst, Kartoffelrestfrucht-wasser, Biofert, Organofert, etc..</t>
  </si>
  <si>
    <r>
      <t xml:space="preserve">wie Stallmist </t>
    </r>
    <r>
      <rPr>
        <sz val="10"/>
        <color indexed="8"/>
        <rFont val="Arial"/>
        <family val="2"/>
      </rPr>
      <t xml:space="preserve"> </t>
    </r>
    <r>
      <rPr>
        <sz val="12"/>
        <color indexed="8"/>
        <rFont val="Arial"/>
        <family val="2"/>
      </rPr>
      <t xml:space="preserve">                      (org. Handelsdünger mit mehr als 15% TM)</t>
    </r>
  </si>
  <si>
    <t xml:space="preserve">Pferdemist </t>
  </si>
  <si>
    <t xml:space="preserve">Rindermist </t>
  </si>
  <si>
    <t>zB. Klärschlamm-kompost</t>
  </si>
  <si>
    <t>wie Kompost</t>
  </si>
  <si>
    <t xml:space="preserve">Schweinemist </t>
  </si>
  <si>
    <t xml:space="preserve">Hähnchen- und Putenmist </t>
  </si>
  <si>
    <t xml:space="preserve">Hühnertrockenkot (mit 50 % TS) </t>
  </si>
  <si>
    <t xml:space="preserve">Schaf- und Ziegenmist </t>
  </si>
  <si>
    <t xml:space="preserve">Stallmistkompost </t>
  </si>
  <si>
    <t xml:space="preserve">Bio- und Grünschnittkompost </t>
  </si>
  <si>
    <t xml:space="preserve">Je nach Einstreumenge können vor allem die Raumgewichte von Festmisten in der Praxis sehr stark variieren. </t>
  </si>
  <si>
    <t>Organische Stickstoffquelle</t>
  </si>
  <si>
    <t>Nges =&gt; N feldfallend</t>
  </si>
  <si>
    <t>Nges =&gt; N schnell wirksam</t>
  </si>
  <si>
    <t>Nff =&gt; Njahresw.
(CC)</t>
  </si>
  <si>
    <t>Nff =&gt; Njahresw.
(ÖPUL 2007)</t>
  </si>
  <si>
    <t>Einstufung wie</t>
  </si>
  <si>
    <t xml:space="preserve">kg Nges    je m³ oder t </t>
  </si>
  <si>
    <r>
      <t>kg P</t>
    </r>
    <r>
      <rPr>
        <vertAlign val="subscript"/>
        <sz val="10"/>
        <color indexed="8"/>
        <rFont val="Arial"/>
        <family val="2"/>
      </rPr>
      <t>2</t>
    </r>
    <r>
      <rPr>
        <sz val="11"/>
        <color indexed="8"/>
        <rFont val="Arial"/>
        <family val="2"/>
      </rPr>
      <t>O</t>
    </r>
    <r>
      <rPr>
        <vertAlign val="subscript"/>
        <sz val="10"/>
        <color indexed="8"/>
        <rFont val="Arial"/>
        <family val="2"/>
      </rPr>
      <t xml:space="preserve">5      </t>
    </r>
    <r>
      <rPr>
        <sz val="11"/>
        <color indexed="8"/>
        <rFont val="Arial"/>
        <family val="2"/>
      </rPr>
      <t>je m³ / t</t>
    </r>
  </si>
  <si>
    <r>
      <t>kg K</t>
    </r>
    <r>
      <rPr>
        <vertAlign val="subscript"/>
        <sz val="10"/>
        <color indexed="8"/>
        <rFont val="Arial"/>
        <family val="2"/>
      </rPr>
      <t>2</t>
    </r>
    <r>
      <rPr>
        <sz val="11"/>
        <color indexed="8"/>
        <rFont val="Arial"/>
        <family val="2"/>
      </rPr>
      <t>O      je m³ / t</t>
    </r>
  </si>
  <si>
    <t>Anmerkung</t>
  </si>
  <si>
    <r>
      <t>Biogasgülle / Gärrückstand  &lt; 55% NH</t>
    </r>
    <r>
      <rPr>
        <vertAlign val="subscript"/>
        <sz val="10"/>
        <color indexed="8"/>
        <rFont val="Arial"/>
        <family val="2"/>
      </rPr>
      <t>4</t>
    </r>
    <r>
      <rPr>
        <sz val="10"/>
        <color indexed="8"/>
        <rFont val="Arial"/>
        <family val="2"/>
      </rPr>
      <t>-N *)</t>
    </r>
  </si>
  <si>
    <t>Rindergülle</t>
  </si>
  <si>
    <r>
      <t>Biogasgülle / Gärrückstand 55 bis &lt; 62,5% NH</t>
    </r>
    <r>
      <rPr>
        <vertAlign val="subscript"/>
        <sz val="10"/>
        <color indexed="8"/>
        <rFont val="Arial"/>
        <family val="2"/>
      </rPr>
      <t>4</t>
    </r>
    <r>
      <rPr>
        <sz val="10"/>
        <color indexed="8"/>
        <rFont val="Arial"/>
        <family val="2"/>
      </rPr>
      <t>-N *)</t>
    </r>
  </si>
  <si>
    <t>Legehennengülle</t>
  </si>
  <si>
    <r>
      <t>Biogasgülle / Gärrückstand 62,5% bis 77,5% NH</t>
    </r>
    <r>
      <rPr>
        <vertAlign val="subscript"/>
        <sz val="10"/>
        <color indexed="8"/>
        <rFont val="Arial"/>
        <family val="2"/>
      </rPr>
      <t>4</t>
    </r>
    <r>
      <rPr>
        <sz val="10"/>
        <color indexed="8"/>
        <rFont val="Arial"/>
        <family val="2"/>
      </rPr>
      <t>-N *)</t>
    </r>
  </si>
  <si>
    <t>Schweinegülle</t>
  </si>
  <si>
    <r>
      <t>Biogasgülle / Gärrückstand &gt; 77,5% NH</t>
    </r>
    <r>
      <rPr>
        <vertAlign val="subscript"/>
        <sz val="10"/>
        <color indexed="8"/>
        <rFont val="Arial"/>
        <family val="2"/>
      </rPr>
      <t>4</t>
    </r>
    <r>
      <rPr>
        <sz val="10"/>
        <color indexed="8"/>
        <rFont val="Arial"/>
        <family val="2"/>
      </rPr>
      <t>-N *)</t>
    </r>
  </si>
  <si>
    <t>Rinderjauche</t>
  </si>
  <si>
    <t>Carbokalk  (0,03 / 0,09 / 0)</t>
  </si>
  <si>
    <t>Stallmist</t>
  </si>
  <si>
    <t>Carbokalk Basiswerte</t>
  </si>
  <si>
    <t>Festsubstrat aus der Gülleseparierung</t>
  </si>
  <si>
    <t>Kartoffelrestfruchtwasser</t>
  </si>
  <si>
    <t>20 kg / t</t>
  </si>
  <si>
    <t>Klärschlamm abgepresst, krümelig &gt; 15% TS</t>
  </si>
  <si>
    <t>Klärschlamm flüssig &lt; 15% TS</t>
  </si>
  <si>
    <t>Klärschlamm flüssig, aerob stabilisiert</t>
  </si>
  <si>
    <t>Klärschlammkompost</t>
  </si>
  <si>
    <t>Stallmistkompost</t>
  </si>
  <si>
    <t>Molke</t>
  </si>
  <si>
    <t>Org. Handelsdünger &lt; 15% TM</t>
  </si>
  <si>
    <t>Org. Handelsdünger &gt; 15% TM</t>
  </si>
  <si>
    <t>Restmelasse</t>
  </si>
  <si>
    <t>Rübenschwänze Rübenbruchstücke</t>
  </si>
  <si>
    <t>Rübenbruchstücke</t>
  </si>
  <si>
    <t>Schlempe mit 90 % TS</t>
  </si>
  <si>
    <t>Schlempe</t>
  </si>
  <si>
    <t>Senkgrubengrauwasser</t>
  </si>
  <si>
    <t>0,2 kg / m³</t>
  </si>
  <si>
    <t>Vinasse</t>
  </si>
  <si>
    <r>
      <t xml:space="preserve">*) </t>
    </r>
    <r>
      <rPr>
        <b/>
        <sz val="10"/>
        <color indexed="8"/>
        <rFont val="Arial"/>
        <family val="2"/>
      </rPr>
      <t>Die Einstufung nach dem NH</t>
    </r>
    <r>
      <rPr>
        <b/>
        <vertAlign val="subscript"/>
        <sz val="10"/>
        <color indexed="8"/>
        <rFont val="Arial"/>
        <family val="2"/>
      </rPr>
      <t>4</t>
    </r>
    <r>
      <rPr>
        <b/>
        <sz val="10"/>
        <color indexed="8"/>
        <rFont val="Arial"/>
        <family val="2"/>
      </rPr>
      <t>-N-Gehalt</t>
    </r>
    <r>
      <rPr>
        <sz val="11"/>
        <color indexed="8"/>
        <rFont val="Arial"/>
        <family val="2"/>
      </rPr>
      <t xml:space="preserve"> gilt auch für Flüssigphasen aus der Gülleseparierung</t>
    </r>
  </si>
  <si>
    <t xml:space="preserve">Wenn die Warenbegleitscheine keine anderen Nährstoffgehalte </t>
  </si>
  <si>
    <t>Nges … Gesamt-N (Kjeldahl) laut Analyse</t>
  </si>
  <si>
    <t xml:space="preserve">ausweisen, kann mit obigen Basiswerten gerechnet werden!       </t>
  </si>
  <si>
    <t>Nff ……. feldfallender N</t>
  </si>
  <si>
    <t>Nll ……. leicht löslicher = rasch wirksamer N</t>
  </si>
  <si>
    <t>Njw …… jahreswirksamer N</t>
  </si>
  <si>
    <t>Nährstoffe aus Tierhaltung</t>
  </si>
  <si>
    <t>Nährstoffe aus Nawaros.</t>
  </si>
  <si>
    <t>wirksam</t>
  </si>
  <si>
    <t>feld-fallend</t>
  </si>
  <si>
    <t>jahres-wirksam</t>
  </si>
  <si>
    <t>schnell-wirksam</t>
  </si>
  <si>
    <t>schnell w</t>
  </si>
  <si>
    <t>UBAG</t>
  </si>
  <si>
    <t>N tier</t>
  </si>
  <si>
    <t>aktuelle Jahres-W</t>
  </si>
  <si>
    <t>Biogasgülle 1</t>
  </si>
  <si>
    <r>
      <t>wie Schweinegülle, weil  NH</t>
    </r>
    <r>
      <rPr>
        <vertAlign val="subscript"/>
        <sz val="14"/>
        <color indexed="10"/>
        <rFont val="Arial"/>
        <family val="2"/>
      </rPr>
      <t>4</t>
    </r>
    <r>
      <rPr>
        <sz val="10"/>
        <color indexed="10"/>
        <rFont val="Arial"/>
        <family val="2"/>
      </rPr>
      <t xml:space="preserve"> fehlt</t>
    </r>
  </si>
  <si>
    <t>wie Rindergülle</t>
  </si>
  <si>
    <t>Y 58</t>
  </si>
  <si>
    <t>wie Geflügelgülle</t>
  </si>
  <si>
    <t>Y 59</t>
  </si>
  <si>
    <t>wie Schweinegülle</t>
  </si>
  <si>
    <t>Y 60</t>
  </si>
  <si>
    <t>wie Jauche</t>
  </si>
  <si>
    <t>Y 61</t>
  </si>
  <si>
    <t>wie Mist</t>
  </si>
  <si>
    <t>Y 62</t>
  </si>
  <si>
    <t>wie Rottemist</t>
  </si>
  <si>
    <t>Y 63</t>
  </si>
  <si>
    <t>Biogasgülle 2</t>
  </si>
  <si>
    <t>Y 64</t>
  </si>
  <si>
    <t>Biogasgülle 3</t>
  </si>
  <si>
    <t>Biogasgülle 4</t>
  </si>
  <si>
    <t>Biogasmist 1</t>
  </si>
  <si>
    <r>
      <t>wie Rindergülle, weil  NH</t>
    </r>
    <r>
      <rPr>
        <vertAlign val="subscript"/>
        <sz val="14"/>
        <color indexed="10"/>
        <rFont val="Arial"/>
        <family val="2"/>
      </rPr>
      <t>4</t>
    </r>
    <r>
      <rPr>
        <sz val="10"/>
        <color indexed="10"/>
        <rFont val="Arial"/>
        <family val="2"/>
      </rPr>
      <t xml:space="preserve"> fehlt</t>
    </r>
  </si>
  <si>
    <t>Biogasmist 2</t>
  </si>
  <si>
    <t>Biogasmist 3</t>
  </si>
  <si>
    <t>Sekundäre Rohstoffe 1</t>
  </si>
  <si>
    <t>als Rindergülle</t>
  </si>
  <si>
    <t>Sekundäre Rohstoffe 2</t>
  </si>
  <si>
    <t>Sekundäre Rohstoffe 3</t>
  </si>
  <si>
    <t>Rotte-mist</t>
  </si>
  <si>
    <t>Biogas</t>
  </si>
  <si>
    <t>sek Rohst.</t>
  </si>
  <si>
    <t>tier. Anteil gesamt</t>
  </si>
  <si>
    <t>Hilfsblatt zur Berechnung der Nährstoffgehalte der Wirtschaftsdünger (kg pro m³)</t>
  </si>
  <si>
    <t xml:space="preserve"> Aufteilung von Gülle, Jauche und Mist auf die Lagerstätten                     </t>
  </si>
  <si>
    <t>Wirtschaftsdüngeraufteilung</t>
  </si>
  <si>
    <t>kg N
pro Jahr</t>
  </si>
  <si>
    <r>
      <t>kg P</t>
    </r>
    <r>
      <rPr>
        <vertAlign val="subscript"/>
        <sz val="10"/>
        <color indexed="8"/>
        <rFont val="Arial"/>
        <family val="2"/>
      </rPr>
      <t>2</t>
    </r>
    <r>
      <rPr>
        <sz val="11"/>
        <color indexed="8"/>
        <rFont val="Arial"/>
        <family val="2"/>
      </rPr>
      <t>O</t>
    </r>
    <r>
      <rPr>
        <vertAlign val="subscript"/>
        <sz val="10"/>
        <color indexed="8"/>
        <rFont val="Arial"/>
        <family val="2"/>
      </rPr>
      <t xml:space="preserve">5
</t>
    </r>
    <r>
      <rPr>
        <sz val="11"/>
        <color indexed="8"/>
        <rFont val="Arial"/>
        <family val="2"/>
      </rPr>
      <t>pro Jahr</t>
    </r>
  </si>
  <si>
    <r>
      <t>kg K</t>
    </r>
    <r>
      <rPr>
        <vertAlign val="subscript"/>
        <sz val="11"/>
        <color indexed="8"/>
        <rFont val="Arial"/>
        <family val="2"/>
      </rPr>
      <t>2</t>
    </r>
    <r>
      <rPr>
        <sz val="11"/>
        <color indexed="8"/>
        <rFont val="Arial"/>
        <family val="2"/>
      </rPr>
      <t xml:space="preserve">O
</t>
    </r>
    <r>
      <rPr>
        <sz val="8"/>
        <color indexed="8"/>
        <rFont val="Arial"/>
        <family val="2"/>
      </rPr>
      <t>pro Jahr</t>
    </r>
  </si>
  <si>
    <t>Mist lager</t>
  </si>
  <si>
    <t>Verteilung</t>
  </si>
  <si>
    <r>
      <t xml:space="preserve">N-Anfall </t>
    </r>
    <r>
      <rPr>
        <sz val="8"/>
        <color indexed="8"/>
        <rFont val="Arial"/>
        <family val="2"/>
      </rPr>
      <t>am Lager</t>
    </r>
  </si>
  <si>
    <r>
      <t>Faktoren</t>
    </r>
    <r>
      <rPr>
        <b/>
        <sz val="10"/>
        <rFont val="Arial"/>
        <family val="2"/>
      </rPr>
      <t xml:space="preserve"> von
ab Lager zu</t>
    </r>
  </si>
  <si>
    <t>feld
fallend</t>
  </si>
  <si>
    <t>aktuelle  Jahres-wirkung</t>
  </si>
  <si>
    <t>schnell
wirksam</t>
  </si>
  <si>
    <t>Zu ordnung</t>
  </si>
  <si>
    <t>Pruefung Verteilung</t>
  </si>
  <si>
    <t>je ha:</t>
  </si>
  <si>
    <r>
      <t>wie</t>
    </r>
    <r>
      <rPr>
        <b/>
        <sz val="10"/>
        <rFont val="Arial"/>
        <family val="2"/>
      </rPr>
      <t xml:space="preserve"> Schweine</t>
    </r>
    <r>
      <rPr>
        <sz val="10"/>
        <rFont val="Arial"/>
        <family val="2"/>
      </rPr>
      <t>gülle</t>
    </r>
  </si>
  <si>
    <t>Geflügelgülle</t>
  </si>
  <si>
    <t>Mist - Standardlager</t>
  </si>
  <si>
    <r>
      <t xml:space="preserve">Mist - Extralager </t>
    </r>
    <r>
      <rPr>
        <sz val="10"/>
        <color indexed="8"/>
        <rFont val="Arial"/>
        <family val="2"/>
      </rPr>
      <t>(zB Geflügelmist)</t>
    </r>
  </si>
  <si>
    <t xml:space="preserve"> zur händischen Eingabe, wenn zB. Geflügelmist getrennt gelagert / ausgebracht wird !</t>
  </si>
  <si>
    <t>Mengenabschätzung - bitte unbedingt vornehmen!</t>
  </si>
  <si>
    <r>
      <t xml:space="preserve">Berechnung N </t>
    </r>
    <r>
      <rPr>
        <b/>
        <vertAlign val="subscript"/>
        <sz val="14"/>
        <rFont val="Arial"/>
        <family val="2"/>
      </rPr>
      <t xml:space="preserve">jahreswirksam
         </t>
    </r>
    <r>
      <rPr>
        <b/>
        <sz val="14"/>
        <rFont val="Arial"/>
        <family val="2"/>
      </rPr>
      <t xml:space="preserve">            </t>
    </r>
    <r>
      <rPr>
        <b/>
        <sz val="10"/>
        <color indexed="10"/>
        <rFont val="Arial"/>
        <family val="2"/>
      </rPr>
      <t xml:space="preserve">Name des Düngers </t>
    </r>
    <r>
      <rPr>
        <sz val="10"/>
        <rFont val="Arial"/>
        <family val="2"/>
      </rPr>
      <t xml:space="preserve">  </t>
    </r>
  </si>
  <si>
    <r>
      <t>kg P</t>
    </r>
    <r>
      <rPr>
        <b/>
        <vertAlign val="subscript"/>
        <sz val="10"/>
        <rFont val="Arial"/>
        <family val="2"/>
      </rPr>
      <t>2</t>
    </r>
    <r>
      <rPr>
        <b/>
        <sz val="10"/>
        <rFont val="Arial"/>
        <family val="2"/>
      </rPr>
      <t>O</t>
    </r>
    <r>
      <rPr>
        <b/>
        <vertAlign val="subscript"/>
        <sz val="10"/>
        <rFont val="Arial"/>
        <family val="2"/>
      </rPr>
      <t xml:space="preserve">5
</t>
    </r>
    <r>
      <rPr>
        <b/>
        <sz val="10"/>
        <rFont val="Arial"/>
        <family val="2"/>
      </rPr>
      <t>pro Jahr</t>
    </r>
  </si>
  <si>
    <r>
      <t>kg K</t>
    </r>
    <r>
      <rPr>
        <b/>
        <vertAlign val="subscript"/>
        <sz val="8"/>
        <rFont val="Arial"/>
        <family val="2"/>
      </rPr>
      <t>2</t>
    </r>
    <r>
      <rPr>
        <b/>
        <sz val="8"/>
        <rFont val="Arial"/>
        <family val="2"/>
      </rPr>
      <t>O
pro Jahr</t>
    </r>
  </si>
  <si>
    <r>
      <t xml:space="preserve">Jahres-anfall
</t>
    </r>
    <r>
      <rPr>
        <b/>
        <sz val="10"/>
        <color indexed="10"/>
        <rFont val="Arial"/>
        <family val="2"/>
      </rPr>
      <t>m³</t>
    </r>
  </si>
  <si>
    <r>
      <t>Wi-Dü Abgabe
m</t>
    </r>
    <r>
      <rPr>
        <b/>
        <vertAlign val="superscript"/>
        <sz val="10"/>
        <color indexed="10"/>
        <rFont val="Arial"/>
        <family val="2"/>
      </rPr>
      <t>3</t>
    </r>
  </si>
  <si>
    <r>
      <t xml:space="preserve">kg N/m³ 
</t>
    </r>
    <r>
      <rPr>
        <sz val="10"/>
        <color indexed="8"/>
        <rFont val="Arial"/>
        <family val="2"/>
      </rPr>
      <t>am Lager</t>
    </r>
  </si>
  <si>
    <t>kg N/m³ 
feld-fallend</t>
  </si>
  <si>
    <r>
      <t xml:space="preserve">kg N/m³
</t>
    </r>
    <r>
      <rPr>
        <sz val="9"/>
        <color indexed="8"/>
        <rFont val="Arial"/>
        <family val="2"/>
      </rPr>
      <t>jahres-wirksam</t>
    </r>
  </si>
  <si>
    <r>
      <t>kg P</t>
    </r>
    <r>
      <rPr>
        <vertAlign val="subscript"/>
        <sz val="10"/>
        <color indexed="8"/>
        <rFont val="Arial"/>
        <family val="2"/>
      </rPr>
      <t>2</t>
    </r>
    <r>
      <rPr>
        <sz val="11"/>
        <color indexed="8"/>
        <rFont val="Arial"/>
        <family val="2"/>
      </rPr>
      <t>O</t>
    </r>
    <r>
      <rPr>
        <vertAlign val="subscript"/>
        <sz val="10"/>
        <color indexed="8"/>
        <rFont val="Arial"/>
        <family val="2"/>
      </rPr>
      <t xml:space="preserve">5
 </t>
    </r>
    <r>
      <rPr>
        <sz val="11"/>
        <color indexed="8"/>
        <rFont val="Arial"/>
        <family val="2"/>
      </rPr>
      <t>je m³</t>
    </r>
  </si>
  <si>
    <r>
      <t>kg
K</t>
    </r>
    <r>
      <rPr>
        <vertAlign val="subscript"/>
        <sz val="10"/>
        <color indexed="8"/>
        <rFont val="Arial"/>
        <family val="2"/>
      </rPr>
      <t>2</t>
    </r>
    <r>
      <rPr>
        <sz val="11"/>
        <color indexed="8"/>
        <rFont val="Arial"/>
        <family val="2"/>
      </rPr>
      <t>O
 je m³</t>
    </r>
  </si>
  <si>
    <r>
      <t>Zu-</t>
    </r>
    <r>
      <rPr>
        <sz val="8"/>
        <color indexed="8"/>
        <rFont val="Arial"/>
        <family val="2"/>
      </rPr>
      <t xml:space="preserve"> ordnung</t>
    </r>
  </si>
  <si>
    <r>
      <t xml:space="preserve">Faktor
jahres
</t>
    </r>
    <r>
      <rPr>
        <sz val="8"/>
        <rFont val="Arial"/>
        <family val="2"/>
      </rPr>
      <t>wirksam</t>
    </r>
  </si>
  <si>
    <t>Achtung! - Wird Mist kurz vor der Ausbringung verflüssigt, so behält er seine Schnellwirksamkeit von 15%.
In diesem Fall kann er einer leeren Grube zugeordet werden. Beim Einmischen in eine andere Gülle oder Jauche wird das gewichtete Mittel der Schnellwirksamkeit berechnet.
Wird Mist regelmaßig verflüssigt müssen die Tiere auf Gülle eingegeben werden, denn es stellt sich eine Dynamik wie bei Gülle ein!</t>
  </si>
  <si>
    <t>UBAG oder CC:</t>
  </si>
  <si>
    <t>N Lager</t>
  </si>
  <si>
    <t>N ff</t>
  </si>
  <si>
    <t>Anteil</t>
  </si>
  <si>
    <t>aus G 1</t>
  </si>
  <si>
    <t>Mistlager</t>
  </si>
  <si>
    <t>aus G 2</t>
  </si>
  <si>
    <t>extra Mistlager</t>
  </si>
  <si>
    <t>aus G 3</t>
  </si>
  <si>
    <t>aus G 4</t>
  </si>
  <si>
    <t>Biogas und Sekundäre Rohstoffe</t>
  </si>
  <si>
    <r>
      <t xml:space="preserve">N
</t>
    </r>
    <r>
      <rPr>
        <b/>
        <sz val="8"/>
        <rFont val="Arial"/>
        <family val="2"/>
      </rPr>
      <t>gesamt</t>
    </r>
  </si>
  <si>
    <r>
      <t xml:space="preserve">P
</t>
    </r>
    <r>
      <rPr>
        <b/>
        <sz val="8"/>
        <rFont val="Arial"/>
        <family val="2"/>
      </rPr>
      <t>gesamt</t>
    </r>
  </si>
  <si>
    <r>
      <t xml:space="preserve">K
</t>
    </r>
    <r>
      <rPr>
        <b/>
        <sz val="8"/>
        <rFont val="Arial"/>
        <family val="2"/>
      </rPr>
      <t>gesamt</t>
    </r>
  </si>
  <si>
    <r>
      <t xml:space="preserve">kg N/m³
</t>
    </r>
    <r>
      <rPr>
        <sz val="8"/>
        <color indexed="8"/>
        <rFont val="Arial"/>
        <family val="2"/>
      </rPr>
      <t>am Lager</t>
    </r>
  </si>
  <si>
    <r>
      <t xml:space="preserve">kg N/m³
</t>
    </r>
    <r>
      <rPr>
        <sz val="8"/>
        <color indexed="8"/>
        <rFont val="Arial"/>
        <family val="2"/>
      </rPr>
      <t>feldf.</t>
    </r>
  </si>
  <si>
    <r>
      <t xml:space="preserve">kg N/m³ 
</t>
    </r>
    <r>
      <rPr>
        <sz val="9"/>
        <color indexed="8"/>
        <rFont val="Arial"/>
        <family val="2"/>
      </rPr>
      <t>jahresw.</t>
    </r>
  </si>
  <si>
    <r>
      <t>P</t>
    </r>
    <r>
      <rPr>
        <vertAlign val="subscript"/>
        <sz val="10"/>
        <color indexed="8"/>
        <rFont val="Arial"/>
        <family val="2"/>
      </rPr>
      <t>2</t>
    </r>
    <r>
      <rPr>
        <sz val="11"/>
        <color indexed="8"/>
        <rFont val="Arial"/>
        <family val="2"/>
      </rPr>
      <t>O</t>
    </r>
    <r>
      <rPr>
        <vertAlign val="subscript"/>
        <sz val="10"/>
        <color indexed="8"/>
        <rFont val="Arial"/>
        <family val="2"/>
      </rPr>
      <t xml:space="preserve">5 
 </t>
    </r>
    <r>
      <rPr>
        <sz val="11"/>
        <color indexed="8"/>
        <rFont val="Arial"/>
        <family val="2"/>
      </rPr>
      <t>je m³</t>
    </r>
  </si>
  <si>
    <r>
      <t>K</t>
    </r>
    <r>
      <rPr>
        <vertAlign val="subscript"/>
        <sz val="10"/>
        <color indexed="8"/>
        <rFont val="Arial"/>
        <family val="2"/>
      </rPr>
      <t>2</t>
    </r>
    <r>
      <rPr>
        <sz val="11"/>
        <color indexed="8"/>
        <rFont val="Arial"/>
        <family val="2"/>
      </rPr>
      <t>O 
 je m³</t>
    </r>
  </si>
  <si>
    <r>
      <t xml:space="preserve">Faktor </t>
    </r>
    <r>
      <rPr>
        <sz val="8"/>
        <rFont val="Arial"/>
        <family val="2"/>
      </rPr>
      <t>jahresw.</t>
    </r>
  </si>
  <si>
    <t>aus Mist 1</t>
  </si>
  <si>
    <t>aus Mist 2</t>
  </si>
  <si>
    <t>Summe</t>
  </si>
  <si>
    <t>Schwein</t>
  </si>
  <si>
    <t>Biogasfeststoff 1</t>
  </si>
  <si>
    <t>Biogasfeststoff 2</t>
  </si>
  <si>
    <t>Biogasfeststoff 3</t>
  </si>
  <si>
    <t>Sek. Rohstoffe 1</t>
  </si>
  <si>
    <t>Sek. Rohstoffe 2</t>
  </si>
  <si>
    <t>j-w</t>
  </si>
  <si>
    <t>s-w</t>
  </si>
  <si>
    <t>Sek. Rohstoffe 3</t>
  </si>
  <si>
    <t>weitere org. Dünger u. Rohstoffe</t>
  </si>
  <si>
    <t>Mistlager 1</t>
  </si>
  <si>
    <t>Mistlager 2</t>
  </si>
  <si>
    <t>Tierliste</t>
  </si>
  <si>
    <r>
      <t xml:space="preserve">Ø Stück/
</t>
    </r>
    <r>
      <rPr>
        <sz val="9"/>
        <rFont val="Arial"/>
        <family val="2"/>
      </rPr>
      <t>Stallplätze</t>
    </r>
  </si>
  <si>
    <t xml:space="preserve">Summen:  </t>
  </si>
  <si>
    <t>Verkauf:</t>
  </si>
  <si>
    <t>Weide und Alm:</t>
  </si>
  <si>
    <t>Nährstoffe am Lager:</t>
  </si>
  <si>
    <t xml:space="preserve">Orientierungswerte für Nährstoffgehalte von in der Praxis vorkommenden Wirtschaftsdüngern in m³ </t>
  </si>
  <si>
    <r>
      <t>Anmerkung:</t>
    </r>
    <r>
      <rPr>
        <sz val="9"/>
        <rFont val="Arial"/>
        <family val="2"/>
      </rPr>
      <t xml:space="preserve"> Die Zahlen dieser Tabelle stellen Mittelwerte dar, die stark schwanken können. Die vorrangige Möglichkeit stellt die betriebsspezifische Ermittlung des N-Gehalts dar (Berechnungsvorgang: N-Anfall aus der Tierhaltung je nach Wirtschaftsdüngersystem durch die anfallende Wirtschaftsdüngermenge dividiert = Nährstoffgehalt pro m³).</t>
    </r>
  </si>
  <si>
    <t>Art der Tiere und des Wirtschaftsdüngers</t>
  </si>
  <si>
    <t>TM-Gehalt
Gew %</t>
  </si>
  <si>
    <r>
      <t xml:space="preserve">N </t>
    </r>
    <r>
      <rPr>
        <b/>
        <vertAlign val="subscript"/>
        <sz val="9"/>
        <rFont val="Arial"/>
        <family val="2"/>
      </rPr>
      <t>ab</t>
    </r>
    <r>
      <rPr>
        <b/>
        <sz val="9"/>
        <rFont val="Arial"/>
        <family val="2"/>
      </rPr>
      <t xml:space="preserve"> Lager</t>
    </r>
  </si>
  <si>
    <r>
      <t>N</t>
    </r>
    <r>
      <rPr>
        <b/>
        <vertAlign val="subscript"/>
        <sz val="9"/>
        <rFont val="Arial"/>
        <family val="2"/>
      </rPr>
      <t>feld</t>
    </r>
    <r>
      <rPr>
        <b/>
        <sz val="9"/>
        <rFont val="Arial"/>
        <family val="2"/>
      </rPr>
      <t>-fallend</t>
    </r>
  </si>
  <si>
    <r>
      <t>P</t>
    </r>
    <r>
      <rPr>
        <b/>
        <vertAlign val="subscript"/>
        <sz val="9"/>
        <rFont val="Arial"/>
        <family val="2"/>
      </rPr>
      <t>2</t>
    </r>
    <r>
      <rPr>
        <b/>
        <sz val="9"/>
        <rFont val="Arial"/>
        <family val="2"/>
      </rPr>
      <t>0</t>
    </r>
    <r>
      <rPr>
        <b/>
        <vertAlign val="subscript"/>
        <sz val="9"/>
        <rFont val="Arial"/>
        <family val="2"/>
      </rPr>
      <t>5</t>
    </r>
  </si>
  <si>
    <r>
      <t>K</t>
    </r>
    <r>
      <rPr>
        <b/>
        <vertAlign val="subscript"/>
        <sz val="9"/>
        <rFont val="Arial"/>
        <family val="2"/>
      </rPr>
      <t>2</t>
    </r>
    <r>
      <rPr>
        <b/>
        <sz val="9"/>
        <rFont val="Arial"/>
        <family val="2"/>
      </rPr>
      <t>0</t>
    </r>
  </si>
  <si>
    <r>
      <t xml:space="preserve">org. </t>
    </r>
    <r>
      <rPr>
        <sz val="9"/>
        <color indexed="8"/>
        <rFont val="Arial"/>
        <family val="2"/>
      </rPr>
      <t>Substanz</t>
    </r>
  </si>
  <si>
    <r>
      <t>kg/m</t>
    </r>
    <r>
      <rPr>
        <vertAlign val="superscript"/>
        <sz val="10"/>
        <color indexed="8"/>
        <rFont val="Arial"/>
        <family val="2"/>
      </rPr>
      <t>3</t>
    </r>
  </si>
  <si>
    <t>Milchkühe (inkl. Nachzucht)</t>
  </si>
  <si>
    <t>Rottemist</t>
  </si>
  <si>
    <t>25-40</t>
  </si>
  <si>
    <t>35-60</t>
  </si>
  <si>
    <t>Stallmist (einstreuarm)</t>
  </si>
  <si>
    <t>20-25</t>
  </si>
  <si>
    <t>Jauche (”unverdünnt")</t>
  </si>
  <si>
    <t>Gülle (1:1 verdünnt)</t>
  </si>
  <si>
    <t>Gülle (unverdünnt)</t>
  </si>
  <si>
    <r>
      <t>Mastrinde</t>
    </r>
    <r>
      <rPr>
        <sz val="10"/>
        <rFont val="Arial"/>
        <family val="2"/>
      </rPr>
      <t>r (Maissilage)</t>
    </r>
  </si>
  <si>
    <t>Mastkälber</t>
  </si>
  <si>
    <r>
      <t>Schafe</t>
    </r>
    <r>
      <rPr>
        <sz val="10"/>
        <rFont val="Arial"/>
        <family val="2"/>
      </rPr>
      <t xml:space="preserve"> (inkl. Lämmer)</t>
    </r>
  </si>
  <si>
    <t>Tiefstallmist</t>
  </si>
  <si>
    <t>25-30</t>
  </si>
  <si>
    <t>Pferde</t>
  </si>
  <si>
    <r>
      <t xml:space="preserve">Schweine </t>
    </r>
    <r>
      <rPr>
        <sz val="10"/>
        <rFont val="Arial"/>
        <family val="2"/>
      </rPr>
      <t>(bei Phasenfütterung bzw. N- und P-reduzierter Fütterung sind die entsprechenden N- und P</t>
    </r>
    <r>
      <rPr>
        <vertAlign val="subscript"/>
        <sz val="10"/>
        <rFont val="Arial"/>
        <family val="2"/>
      </rPr>
      <t>2</t>
    </r>
    <r>
      <rPr>
        <sz val="10"/>
        <rFont val="Arial"/>
        <family val="2"/>
      </rPr>
      <t>O</t>
    </r>
    <r>
      <rPr>
        <vertAlign val="subscript"/>
        <sz val="10"/>
        <rFont val="Arial"/>
        <family val="2"/>
      </rPr>
      <t>5</t>
    </r>
    <r>
      <rPr>
        <sz val="10"/>
        <rFont val="Arial"/>
        <family val="2"/>
      </rPr>
      <t>-Gehalte um 20 % zu reduzieren)</t>
    </r>
  </si>
  <si>
    <t>Zuchtsauen</t>
  </si>
  <si>
    <t>Mastschweine</t>
  </si>
  <si>
    <r>
      <t xml:space="preserve">Gülle </t>
    </r>
    <r>
      <rPr>
        <sz val="10"/>
        <color indexed="8"/>
        <rFont val="Arial"/>
        <family val="2"/>
      </rPr>
      <t>(Futtergrundlage MKS-CCM)</t>
    </r>
  </si>
  <si>
    <r>
      <t>Gülle</t>
    </r>
    <r>
      <rPr>
        <sz val="10"/>
        <color indexed="8"/>
        <rFont val="Arial"/>
        <family val="2"/>
      </rPr>
      <t xml:space="preserve"> (Futtergrundlage Getreide)</t>
    </r>
  </si>
  <si>
    <t>Legehennen</t>
  </si>
  <si>
    <t>Frischkot (= unverd. Gülle)</t>
  </si>
  <si>
    <t>Trockenkot</t>
  </si>
  <si>
    <t>Masthähnchen (Broiler)</t>
  </si>
  <si>
    <t>Festmist</t>
  </si>
  <si>
    <t>Puten</t>
  </si>
  <si>
    <r>
      <t xml:space="preserve">Nährstoffe aus Mineraldünger </t>
    </r>
    <r>
      <rPr>
        <sz val="14"/>
        <color indexed="8"/>
        <rFont val="Arial"/>
        <family val="2"/>
      </rPr>
      <t>(Ermittlung 5)</t>
    </r>
  </si>
  <si>
    <t>Kostenberechnungen</t>
  </si>
  <si>
    <t>Ermittlung des Wertes der Reinnährstoff  
Stickstoff, Phosphor und Kali</t>
  </si>
  <si>
    <t>N-feld-fallend 
je ha</t>
  </si>
  <si>
    <t>Saldo 
P-Bedarf</t>
  </si>
  <si>
    <r>
      <t xml:space="preserve">P </t>
    </r>
    <r>
      <rPr>
        <b/>
        <sz val="8"/>
        <color indexed="12"/>
        <rFont val="Arial"/>
        <family val="2"/>
      </rPr>
      <t>mineral</t>
    </r>
    <r>
      <rPr>
        <b/>
        <sz val="10"/>
        <color indexed="12"/>
        <rFont val="Arial"/>
        <family val="2"/>
      </rPr>
      <t>. je ha</t>
    </r>
  </si>
  <si>
    <t>Preis der Dünger - Wert der Nährstoffe N, P und K</t>
  </si>
  <si>
    <t>Wert der Nährstoffe je nach Dünger</t>
  </si>
  <si>
    <t>Mineraldünger</t>
  </si>
  <si>
    <t xml:space="preserve"> % N</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</si>
  <si>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</si>
  <si>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</si>
  <si>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t>kg N</t>
  </si>
  <si>
    <r>
      <t>kg P</t>
    </r>
    <r>
      <rPr>
        <b/>
        <vertAlign val="subscript"/>
        <sz val="10"/>
        <rFont val="Arial"/>
        <family val="2"/>
      </rPr>
      <t>2</t>
    </r>
    <r>
      <rPr>
        <b/>
        <sz val="10"/>
        <rFont val="Arial"/>
        <family val="2"/>
      </rPr>
      <t>O</t>
    </r>
    <r>
      <rPr>
        <b/>
        <vertAlign val="subscript"/>
        <sz val="10"/>
        <rFont val="Arial"/>
        <family val="2"/>
      </rPr>
      <t>5</t>
    </r>
  </si>
  <si>
    <r>
      <t>kg K</t>
    </r>
    <r>
      <rPr>
        <b/>
        <vertAlign val="subscript"/>
        <sz val="10"/>
        <rFont val="Arial"/>
        <family val="2"/>
      </rPr>
      <t>2</t>
    </r>
    <r>
      <rPr>
        <b/>
        <sz val="10"/>
        <rFont val="Arial"/>
        <family val="2"/>
      </rPr>
      <t>O</t>
    </r>
  </si>
  <si>
    <t>Wirksam-keit</t>
  </si>
  <si>
    <t>Einkaufspreis
je t     gesamt</t>
  </si>
  <si>
    <t>eventuelle Ersparnis
beim Kostenvergleich ohne Bewertung von Kalk, Magnesium, Schwefel und Spurenelementen</t>
  </si>
  <si>
    <t>bitte hier aktuelle Preise eingeben!</t>
  </si>
  <si>
    <t>Preis</t>
  </si>
  <si>
    <t>Reinnährstoffe kg / t</t>
  </si>
  <si>
    <r>
      <t>P</t>
    </r>
    <r>
      <rPr>
        <b/>
        <vertAlign val="subscript"/>
        <sz val="10"/>
        <color indexed="8"/>
        <rFont val="Arial"/>
        <family val="2"/>
      </rPr>
      <t>2</t>
    </r>
    <r>
      <rPr>
        <b/>
        <sz val="10"/>
        <color indexed="8"/>
        <rFont val="Arial"/>
        <family val="2"/>
      </rPr>
      <t>O</t>
    </r>
    <r>
      <rPr>
        <b/>
        <vertAlign val="subscript"/>
        <sz val="10"/>
        <color indexed="8"/>
        <rFont val="Arial"/>
        <family val="2"/>
      </rPr>
      <t>5</t>
    </r>
  </si>
  <si>
    <r>
      <t>K</t>
    </r>
    <r>
      <rPr>
        <b/>
        <vertAlign val="subscript"/>
        <sz val="10"/>
        <color indexed="8"/>
        <rFont val="Arial"/>
        <family val="2"/>
      </rPr>
      <t>2</t>
    </r>
    <r>
      <rPr>
        <b/>
        <sz val="10"/>
        <color indexed="8"/>
        <rFont val="Arial"/>
        <family val="2"/>
      </rPr>
      <t>O</t>
    </r>
  </si>
  <si>
    <t>NAC - Kalkammonsalp.</t>
  </si>
  <si>
    <t>€ je t</t>
  </si>
  <si>
    <r>
      <t xml:space="preserve">Harnstoff </t>
    </r>
    <r>
      <rPr>
        <sz val="10"/>
        <rFont val="Arial"/>
        <family val="2"/>
      </rPr>
      <t>(Urea 46)</t>
    </r>
  </si>
  <si>
    <t>NAC</t>
  </si>
  <si>
    <t>AHL in kg   (34,3 % je 100 lt)*</t>
  </si>
  <si>
    <t>je t</t>
  </si>
  <si>
    <t>gesamt</t>
  </si>
  <si>
    <t>Harnstoff</t>
  </si>
  <si>
    <t>AHL in kg   aus Bayern</t>
  </si>
  <si>
    <t>DAP</t>
  </si>
  <si>
    <t>SSA</t>
  </si>
  <si>
    <t>Schwefel</t>
  </si>
  <si>
    <t>Hyperkorn</t>
  </si>
  <si>
    <t>Piamon</t>
  </si>
  <si>
    <t>Kali 60%</t>
  </si>
  <si>
    <t>Kalkstickstoff</t>
  </si>
  <si>
    <t>Kalk</t>
  </si>
  <si>
    <t>Hyper fein</t>
  </si>
  <si>
    <t>Wert der Reinährstoffe:</t>
  </si>
  <si>
    <t>Superphosphat</t>
  </si>
  <si>
    <t>Stickstoff</t>
  </si>
  <si>
    <t>€ je kg</t>
  </si>
  <si>
    <t>auf Basis obiger Preisangaben</t>
  </si>
  <si>
    <t>Triplephosphat</t>
  </si>
  <si>
    <t>Thomaskorn 15</t>
  </si>
  <si>
    <t>Kalium</t>
  </si>
  <si>
    <t>40er Kali</t>
  </si>
  <si>
    <t>60er Kali</t>
  </si>
  <si>
    <t>Patentkali</t>
  </si>
  <si>
    <t>Schwefels. Kali</t>
  </si>
  <si>
    <t>Magnesia-Kainit</t>
  </si>
  <si>
    <t>Diammonphosphat</t>
  </si>
  <si>
    <t>Complex grün 20/20</t>
  </si>
  <si>
    <r>
      <t>SO</t>
    </r>
    <r>
      <rPr>
        <vertAlign val="subscript"/>
        <sz val="9"/>
        <rFont val="Arial"/>
        <family val="2"/>
      </rPr>
      <t xml:space="preserve">3 </t>
    </r>
    <r>
      <rPr>
        <sz val="9"/>
        <rFont val="Arial"/>
        <family val="2"/>
      </rPr>
      <t>+ Zn</t>
    </r>
  </si>
  <si>
    <t>Complex grün 26/10</t>
  </si>
  <si>
    <r>
      <t>SO</t>
    </r>
    <r>
      <rPr>
        <vertAlign val="subscript"/>
        <sz val="9"/>
        <rFont val="Arial"/>
        <family val="2"/>
      </rPr>
      <t>3</t>
    </r>
  </si>
  <si>
    <t>DC 45 neu</t>
  </si>
  <si>
    <t>DC 44 spez</t>
  </si>
  <si>
    <r>
      <t>SO</t>
    </r>
    <r>
      <rPr>
        <vertAlign val="subscript"/>
        <sz val="9"/>
        <rFont val="Arial"/>
        <family val="2"/>
      </rPr>
      <t>3</t>
    </r>
    <r>
      <rPr>
        <sz val="9"/>
        <rFont val="Arial"/>
        <family val="2"/>
      </rPr>
      <t>+B+MgO</t>
    </r>
  </si>
  <si>
    <t>Hyperkali</t>
  </si>
  <si>
    <t>DC start</t>
  </si>
  <si>
    <t>DC 37</t>
  </si>
  <si>
    <t>DC (13 / 5 / 15+15 S)</t>
  </si>
  <si>
    <t>Bei der Kostenberechnung werden nur Stickstoff, Phosphor und Kali bewertet, weitere Nährstoffe, wie Kalk, Schwefel, Magnesium und Spurenelemente und zusätzliche Ausbringkosten sind nicht berücksichtigt. Legen sie auf diese weiteren Nährstoffe wert, dann sind mögliche Mehrkosten vielleicht gerechtfertigt.</t>
  </si>
  <si>
    <t>DC (15 / 5 / 5+18 S)</t>
  </si>
  <si>
    <r>
      <t>Complex orange</t>
    </r>
    <r>
      <rPr>
        <sz val="10"/>
        <rFont val="Arial"/>
        <family val="2"/>
      </rPr>
      <t xml:space="preserve"> (Linzer Pro)</t>
    </r>
  </si>
  <si>
    <r>
      <t>Complex gelb</t>
    </r>
    <r>
      <rPr>
        <sz val="10"/>
        <rFont val="Arial"/>
        <family val="2"/>
      </rPr>
      <t xml:space="preserve"> (Linzer Star)</t>
    </r>
  </si>
  <si>
    <r>
      <t>Complex blaugrün</t>
    </r>
    <r>
      <rPr>
        <b/>
        <sz val="8"/>
        <rFont val="Arial"/>
        <family val="2"/>
      </rPr>
      <t xml:space="preserve"> </t>
    </r>
    <r>
      <rPr>
        <sz val="8"/>
        <rFont val="Arial"/>
        <family val="2"/>
      </rPr>
      <t>(Linzer Plus)</t>
    </r>
  </si>
  <si>
    <r>
      <t>MgO+SO</t>
    </r>
    <r>
      <rPr>
        <vertAlign val="subscript"/>
        <sz val="9"/>
        <rFont val="Arial"/>
        <family val="2"/>
      </rPr>
      <t>3</t>
    </r>
    <r>
      <rPr>
        <sz val="9"/>
        <rFont val="Arial"/>
        <family val="2"/>
      </rPr>
      <t>+B+Zn</t>
    </r>
  </si>
  <si>
    <t>Complex blau (15/5/18)</t>
  </si>
  <si>
    <r>
      <t>Complex rot</t>
    </r>
    <r>
      <rPr>
        <sz val="10"/>
        <rFont val="Arial"/>
        <family val="2"/>
      </rPr>
      <t xml:space="preserve"> (Linzer Top)</t>
    </r>
  </si>
  <si>
    <r>
      <t>MgO+SO</t>
    </r>
    <r>
      <rPr>
        <vertAlign val="subscript"/>
        <sz val="9"/>
        <rFont val="Arial"/>
        <family val="2"/>
      </rPr>
      <t>3</t>
    </r>
  </si>
  <si>
    <t>Vario 18/11/11</t>
  </si>
  <si>
    <t>Vario 20/7/7</t>
  </si>
  <si>
    <t>Vario 21/7/7</t>
  </si>
  <si>
    <t>Sonstige</t>
  </si>
  <si>
    <t>bitte zusätzliche Nährstoffe bei Kalkulation berücksichtigen</t>
  </si>
  <si>
    <r>
      <t>Nährstoffeinsatz aus Mineraldünger in kg</t>
    </r>
    <r>
      <rPr>
        <sz val="12"/>
        <rFont val="Arial"/>
        <family val="2"/>
      </rPr>
      <t xml:space="preserve"> </t>
    </r>
  </si>
  <si>
    <t>Kosten MD  €</t>
  </si>
  <si>
    <r>
      <t xml:space="preserve">Ersparnis bei </t>
    </r>
    <r>
      <rPr>
        <sz val="8"/>
        <rFont val="Arial"/>
        <family val="2"/>
      </rPr>
      <t>Einzelnährstoffen</t>
    </r>
  </si>
  <si>
    <t xml:space="preserve">*AHL hat ein höheres spezifisches Gewicht als Wasser, 100 l AHL wiegen 127 kg, 
</t>
  </si>
  <si>
    <t xml:space="preserve"> darin sind 34,3 kg N (in 100 kg AHL sind 27 kg N)!</t>
  </si>
  <si>
    <t>Stickstoffberechnung</t>
  </si>
  <si>
    <t>N-Anfall ab Lager</t>
  </si>
  <si>
    <t>Rinder-gülle</t>
  </si>
  <si>
    <t>Kom-post</t>
  </si>
  <si>
    <t>N-Anfall (ab Lager) aus eigener Tierhaltung</t>
  </si>
  <si>
    <t>Wirtschaftsdüngerabgang durch Alpung</t>
  </si>
  <si>
    <t xml:space="preserve">Wirtschaftsdüngerabgabe </t>
  </si>
  <si>
    <t>Wirtschaftsdüngerzugang</t>
  </si>
  <si>
    <t>Wirtschaftsdüngeranteil aus Biogasfeststoff</t>
  </si>
  <si>
    <t>Wirtschaftsdüngeranteil aus Sekundären Rohstoffen</t>
  </si>
  <si>
    <t>N-Anfall (ab Lager) aus der Tierhaltung incl. Wirtschaftsdüngertransfer</t>
  </si>
  <si>
    <t xml:space="preserve">Feldfallender organischer Stickstoff </t>
  </si>
  <si>
    <t>N-feldfallend</t>
  </si>
  <si>
    <t>N-Anfall (ab Lager) aus der Tierhaltung incl. Wirtschaftsdüngerzukauf</t>
  </si>
  <si>
    <t>Stickstoff aus nicht tierischen org. Quellen, wie Bio-gasgülle, Kompost, KS, org. Handels-düngern usw.</t>
  </si>
  <si>
    <t>Abzugsfaktoren für Ausbringungsverluste 
(13 % bei Güllen und Jauche, 9 % bei Mist und Kompost)</t>
  </si>
  <si>
    <t xml:space="preserve">Organischer N-feldfallend </t>
  </si>
  <si>
    <t>N-feldfallend aus Wirtschaftsdünger-Abgabe mit den gewichteten Abzugsfaktoren</t>
  </si>
  <si>
    <t>kg N feldfallend am Betrieb</t>
  </si>
  <si>
    <t>Jahreswirksamer Stickstoff</t>
  </si>
  <si>
    <t>N-jahreswirksam</t>
  </si>
  <si>
    <t>Schweine gülle</t>
  </si>
  <si>
    <t xml:space="preserve">organischer N-feldfallend in kg </t>
  </si>
  <si>
    <t>Faktoren für Jahreswirkung im Umweltprogramm</t>
  </si>
  <si>
    <t>Organischer N-jahreswirksam in kg 
(= org. N-feldfallend x Faktor)</t>
  </si>
  <si>
    <t>N-jahreswirksam aus Wirtschaftsdünger-Abgabe</t>
  </si>
  <si>
    <t>Jahreswirksamer Stickstoff am Betrieb in kg</t>
  </si>
  <si>
    <t>Kulturbezogener Stickstoff-und Phosphor-Bedarf</t>
  </si>
  <si>
    <t>Phosphor-Bedarfswerte für Acker und Grünland</t>
  </si>
  <si>
    <t>Kali-Bedarfswerte für Acker und Grünland</t>
  </si>
  <si>
    <t>Kulturen und Ertragslage auswählen oder laut untenstehenden Tabellen eintragen</t>
  </si>
  <si>
    <t>Stickstoff aus Vorfrucht</t>
  </si>
  <si>
    <t>Kali Richtwerte</t>
  </si>
  <si>
    <t>Liste_Kulturen</t>
  </si>
  <si>
    <t>Liste_N_Bedarf</t>
  </si>
  <si>
    <t>Liste_P_Bedarf</t>
  </si>
  <si>
    <t>Kultur / Nutzung</t>
  </si>
  <si>
    <t>Kultur-fläche</t>
  </si>
  <si>
    <r>
      <t>Ertrags</t>
    </r>
    <r>
      <rPr>
        <sz val="9"/>
        <rFont val="Arial"/>
        <family val="2"/>
      </rPr>
      <t>-</t>
    </r>
    <r>
      <rPr>
        <sz val="11"/>
        <rFont val="Arial"/>
        <family val="2"/>
      </rPr>
      <t>lage</t>
    </r>
  </si>
  <si>
    <t>maximale N-Bedarfswerte</t>
  </si>
  <si>
    <t>N-Menge
je Kultur</t>
  </si>
  <si>
    <t>P-Menge    je Kultur</t>
  </si>
  <si>
    <t>Vorfrucht-            wirkung</t>
  </si>
  <si>
    <t>Fläche</t>
  </si>
  <si>
    <t>Standard- Kali-Bedarfswerte</t>
  </si>
  <si>
    <t>Kali-Menge    je Kultur</t>
  </si>
  <si>
    <t>Rück-lieferung</t>
  </si>
  <si>
    <t>Ertragslagen</t>
  </si>
  <si>
    <t>Flächen 
mit N
Bedarf</t>
  </si>
  <si>
    <t>Entzugs-wert</t>
  </si>
  <si>
    <t>Ausgabe N_Bedarf</t>
  </si>
  <si>
    <t>Ausgabe P_Bedarf</t>
  </si>
  <si>
    <t>Ausgabe K_Bedarf</t>
  </si>
  <si>
    <t>niedrig</t>
  </si>
  <si>
    <t>GW-mittel</t>
  </si>
  <si>
    <t>GW-hoch</t>
  </si>
  <si>
    <t>hoch 2</t>
  </si>
  <si>
    <t>hoch 3</t>
  </si>
  <si>
    <t>Entzugswert nach Anhang P</t>
  </si>
  <si>
    <t>Zu-  ordnung</t>
  </si>
  <si>
    <t>Getreide-Stroh-
abfuhr</t>
  </si>
  <si>
    <t>Stroh am Feld</t>
  </si>
  <si>
    <t>auswählen oder eintragen</t>
  </si>
  <si>
    <t>niedrig - hoch 3</t>
  </si>
  <si>
    <t>händisch</t>
  </si>
  <si>
    <t>kg</t>
  </si>
  <si>
    <t>vorge-
geben</t>
  </si>
  <si>
    <t>kg N / ha</t>
  </si>
  <si>
    <t>N gesamt</t>
  </si>
  <si>
    <r>
      <t>Die Düngung
ist auf langjährige 
Durchschnitts-erträge abzustimmen. 
Es gelten für alle Betriebe
die Dünge-zahlen des Aktions-programm Nitrat.</t>
    </r>
    <r>
      <rPr>
        <sz val="10"/>
        <color indexed="8"/>
        <rFont val="Arial"/>
        <family val="2"/>
      </rPr>
      <t xml:space="preserve"> 
</t>
    </r>
  </si>
  <si>
    <t>kg P/ha</t>
  </si>
  <si>
    <t>kg K/ha</t>
  </si>
  <si>
    <t>a</t>
  </si>
  <si>
    <t>Ackerbohne, Körnererbse</t>
  </si>
  <si>
    <t>Getreide</t>
  </si>
  <si>
    <t>b</t>
  </si>
  <si>
    <t>Wintergerste</t>
  </si>
  <si>
    <t>Klee, Luzerne einjährig bei Umbruch</t>
  </si>
  <si>
    <t>c</t>
  </si>
  <si>
    <t>Körnermais</t>
  </si>
  <si>
    <t>d</t>
  </si>
  <si>
    <t>Blühflächen, Stilllegung, 
Boden-gesundung einjährig 
bei Umbruch</t>
  </si>
  <si>
    <t>e</t>
  </si>
  <si>
    <t>f</t>
  </si>
  <si>
    <t>Wechselwiese, Kleegras bei Umbruch</t>
  </si>
  <si>
    <t>g</t>
  </si>
  <si>
    <t>Sommerfuttergerste</t>
  </si>
  <si>
    <t>h</t>
  </si>
  <si>
    <t>Futtergräser, sonstigem mehrjährigen Feldfutter und Grünlandflächen bei Umbruch</t>
  </si>
  <si>
    <t>i</t>
  </si>
  <si>
    <t>j</t>
  </si>
  <si>
    <t>k</t>
  </si>
  <si>
    <t>Klee, mehrjährige  Leguminosen bei Umbruch</t>
  </si>
  <si>
    <t>Mais</t>
  </si>
  <si>
    <t>l</t>
  </si>
  <si>
    <t>m</t>
  </si>
  <si>
    <t xml:space="preserve"> Summe kg N aus Vorfrucht: *</t>
  </si>
  <si>
    <t>n</t>
  </si>
  <si>
    <t>Grünland</t>
  </si>
  <si>
    <t>o</t>
  </si>
  <si>
    <t>p</t>
  </si>
  <si>
    <t>q</t>
  </si>
  <si>
    <t>Getreide
stroh 
bleibt 
am Feld</t>
  </si>
  <si>
    <t>r</t>
  </si>
  <si>
    <t>s</t>
  </si>
  <si>
    <t>t</t>
  </si>
  <si>
    <t>Zuckerrübe</t>
  </si>
  <si>
    <t>Gesamtbetrieblicher maximaler N-Bedarf in kg</t>
  </si>
  <si>
    <t>max P-Bedarf</t>
  </si>
  <si>
    <t>K-Rücklieferung</t>
  </si>
  <si>
    <t>Summe Flächen N-Bedarf</t>
  </si>
  <si>
    <t>Jahreswirksamer Stickstoff am Betrieb</t>
  </si>
  <si>
    <t>P am Betrieb</t>
  </si>
  <si>
    <t>ca. K-Bedarf</t>
  </si>
  <si>
    <t>Liste_ja</t>
  </si>
  <si>
    <t>Liste_
Ertrag</t>
  </si>
  <si>
    <t>Liste_
Grünland</t>
  </si>
  <si>
    <t>N-Saldo:</t>
  </si>
  <si>
    <t>K am Betrieb</t>
  </si>
  <si>
    <t>ja</t>
  </si>
  <si>
    <t>Summe der Flächeneingabe</t>
  </si>
  <si>
    <t>LN laut Tabellenblatt "Betrieb":</t>
  </si>
  <si>
    <t>K-Saldo</t>
  </si>
  <si>
    <t>nein</t>
  </si>
  <si>
    <t>Summe der Ackerfläche</t>
  </si>
  <si>
    <t>Acker laut Tabellenblatt "Betrieb":</t>
  </si>
  <si>
    <t>hoch</t>
  </si>
  <si>
    <t>Kümmel</t>
  </si>
  <si>
    <t>Mohn</t>
  </si>
  <si>
    <t>Ölkürbis</t>
  </si>
  <si>
    <r>
      <t>Phosphor</t>
    </r>
    <r>
      <rPr>
        <sz val="14"/>
        <rFont val="Arial"/>
        <family val="2"/>
      </rPr>
      <t xml:space="preserve"> (als ÖPUL Mindeststandart)</t>
    </r>
  </si>
  <si>
    <r>
      <t xml:space="preserve">Kalium </t>
    </r>
    <r>
      <rPr>
        <sz val="14"/>
        <rFont val="Arial"/>
        <family val="2"/>
      </rPr>
      <t>(nur als Empfehlung)</t>
    </r>
  </si>
  <si>
    <t>Futterzwischenfrucht ohne Leguminosen</t>
  </si>
  <si>
    <t>A</t>
  </si>
  <si>
    <t>B</t>
  </si>
  <si>
    <t>Gehaltsklasse C</t>
  </si>
  <si>
    <t>D</t>
  </si>
  <si>
    <t>E</t>
  </si>
  <si>
    <t>Futterzwischenfrucht mit Leguminosen</t>
  </si>
  <si>
    <t>miitel</t>
  </si>
  <si>
    <t>Ackerkulturen:</t>
  </si>
  <si>
    <t>t/ha</t>
  </si>
  <si>
    <t>N/ha</t>
  </si>
  <si>
    <r>
      <t>kg P</t>
    </r>
    <r>
      <rPr>
        <vertAlign val="subscript"/>
        <sz val="14"/>
        <rFont val="Arial"/>
        <family val="2"/>
      </rPr>
      <t>2</t>
    </r>
    <r>
      <rPr>
        <sz val="14"/>
        <rFont val="Arial"/>
        <family val="2"/>
      </rPr>
      <t>O</t>
    </r>
    <r>
      <rPr>
        <vertAlign val="subscript"/>
        <sz val="14"/>
        <rFont val="Arial"/>
        <family val="2"/>
      </rPr>
      <t>5</t>
    </r>
    <r>
      <rPr>
        <sz val="14"/>
        <rFont val="Arial"/>
        <family val="2"/>
      </rPr>
      <t>/ha</t>
    </r>
  </si>
  <si>
    <r>
      <t>kg K</t>
    </r>
    <r>
      <rPr>
        <vertAlign val="subscript"/>
        <sz val="14"/>
        <rFont val="Arial"/>
        <family val="2"/>
      </rPr>
      <t>2</t>
    </r>
    <r>
      <rPr>
        <sz val="14"/>
        <rFont val="Arial"/>
        <family val="2"/>
      </rPr>
      <t>O/ha</t>
    </r>
  </si>
  <si>
    <t>&lt; 3,5</t>
  </si>
  <si>
    <t>3,5 - 6,0</t>
  </si>
  <si>
    <t>6,0 - 7,5</t>
  </si>
  <si>
    <t>7,5 - 9,0</t>
  </si>
  <si>
    <t>&gt; 9,0</t>
  </si>
  <si>
    <t>1)</t>
  </si>
  <si>
    <t>2)</t>
  </si>
  <si>
    <t>&lt; 3,0</t>
  </si>
  <si>
    <t>3,0 - 4,5</t>
  </si>
  <si>
    <t>4,5 - 6,0</t>
  </si>
  <si>
    <t>&gt; 7,5</t>
  </si>
  <si>
    <t>3,5 - 5,5</t>
  </si>
  <si>
    <t>5,5 - 7,0</t>
  </si>
  <si>
    <t>7,0 - 8,5</t>
  </si>
  <si>
    <t>&gt; 8,5</t>
  </si>
  <si>
    <t>3,5 - 5,0</t>
  </si>
  <si>
    <t>5,0 - 6,5</t>
  </si>
  <si>
    <t>6,5 - 8,0</t>
  </si>
  <si>
    <t>&gt; 8,0</t>
  </si>
  <si>
    <t>&gt; 13,0</t>
  </si>
  <si>
    <t>diverse Grünbrachen zB Biodiv.</t>
  </si>
  <si>
    <t>&lt; 40</t>
  </si>
  <si>
    <t>40 - 50</t>
  </si>
  <si>
    <t>50 - 57,5</t>
  </si>
  <si>
    <t>57,5 - 65,0</t>
  </si>
  <si>
    <t>&gt; 65,0</t>
  </si>
  <si>
    <t>Grünland (Überschrift)</t>
  </si>
  <si>
    <t>GW</t>
  </si>
  <si>
    <t>P im Grünland und Feldfutter</t>
  </si>
  <si>
    <t>K im Grünland und Feldfutter</t>
  </si>
  <si>
    <t>&lt; 6,5</t>
  </si>
  <si>
    <t>8,0 - 9,5</t>
  </si>
  <si>
    <t>9,5 - 10</t>
  </si>
  <si>
    <t>&gt; 10</t>
  </si>
  <si>
    <t>GL</t>
  </si>
  <si>
    <t>&lt; 14,5</t>
  </si>
  <si>
    <t>&gt; 22</t>
  </si>
  <si>
    <t>&lt; 55</t>
  </si>
  <si>
    <t>55 - 68</t>
  </si>
  <si>
    <t>68 - 77</t>
  </si>
  <si>
    <t>77 - 83</t>
  </si>
  <si>
    <t>&gt; 83</t>
  </si>
  <si>
    <t>&lt; 2,5</t>
  </si>
  <si>
    <t>2,5 - 4,5</t>
  </si>
  <si>
    <t>4,5 - 5,0</t>
  </si>
  <si>
    <t>5,0 - 5,5</t>
  </si>
  <si>
    <t>&gt; 5,5</t>
  </si>
  <si>
    <t>&lt; 2,0</t>
  </si>
  <si>
    <t>2,0 - 4,5</t>
  </si>
  <si>
    <t>&lt; 1,5</t>
  </si>
  <si>
    <t>3 - 3,5</t>
  </si>
  <si>
    <t>2,0 - 3,0</t>
  </si>
  <si>
    <t>3,0 - 4,0</t>
  </si>
  <si>
    <t>&gt; 5,0</t>
  </si>
  <si>
    <t>&lt; 25</t>
  </si>
  <si>
    <t>25 - 35</t>
  </si>
  <si>
    <t>35 - 45</t>
  </si>
  <si>
    <t>45 - 55</t>
  </si>
  <si>
    <t>&gt; 55</t>
  </si>
  <si>
    <t>55 - 75</t>
  </si>
  <si>
    <t>Futterrüben</t>
  </si>
  <si>
    <t>&lt; 60</t>
  </si>
  <si>
    <t>60 - 100</t>
  </si>
  <si>
    <t>&gt; 100</t>
  </si>
  <si>
    <t>&lt; 35</t>
  </si>
  <si>
    <t>&gt; 65</t>
  </si>
  <si>
    <t>&lt; 15</t>
  </si>
  <si>
    <t>15 - 20</t>
  </si>
  <si>
    <t>&gt; 20</t>
  </si>
  <si>
    <t>Almfutterfläche</t>
  </si>
  <si>
    <t>Hutweide</t>
  </si>
  <si>
    <t>&lt; 0,6</t>
  </si>
  <si>
    <t>0,6 - 0,8</t>
  </si>
  <si>
    <t>Streuwiese</t>
  </si>
  <si>
    <t>Grünlandbrache</t>
  </si>
  <si>
    <t>Stickstoffwerte</t>
  </si>
  <si>
    <t>Ertragslage</t>
  </si>
  <si>
    <t>15 - 25</t>
  </si>
  <si>
    <t>25 - 30</t>
  </si>
  <si>
    <t>&lt; 9,5</t>
  </si>
  <si>
    <t>Düngung nach Bodenuntersuchung</t>
  </si>
  <si>
    <r>
      <t>kg P</t>
    </r>
    <r>
      <rPr>
        <vertAlign val="subscript"/>
        <sz val="12"/>
        <rFont val="Arial"/>
        <family val="2"/>
      </rPr>
      <t>2</t>
    </r>
    <r>
      <rPr>
        <sz val="12"/>
        <rFont val="Arial"/>
        <family val="2"/>
      </rPr>
      <t>O</t>
    </r>
    <r>
      <rPr>
        <vertAlign val="subscript"/>
        <sz val="12"/>
        <rFont val="Arial"/>
        <family val="2"/>
      </rPr>
      <t>5</t>
    </r>
    <r>
      <rPr>
        <sz val="12"/>
        <rFont val="Arial"/>
        <family val="2"/>
      </rPr>
      <t>/ha</t>
    </r>
  </si>
  <si>
    <r>
      <t>kg K</t>
    </r>
    <r>
      <rPr>
        <vertAlign val="subscript"/>
        <sz val="12"/>
        <rFont val="Arial"/>
        <family val="2"/>
      </rPr>
      <t>2</t>
    </r>
    <r>
      <rPr>
        <sz val="12"/>
        <rFont val="Arial"/>
        <family val="2"/>
      </rPr>
      <t>O/ha</t>
    </r>
  </si>
  <si>
    <t>Ackerbohnen - Getreide Gemenge</t>
  </si>
  <si>
    <t>manuelle Eingabe erforderlich</t>
  </si>
  <si>
    <t>Amaranth</t>
  </si>
  <si>
    <t>&lt; 1,0</t>
  </si>
  <si>
    <t>1,0 - 1,5</t>
  </si>
  <si>
    <t>1,5 - 2,0</t>
  </si>
  <si>
    <t>2,0 - 2,5</t>
  </si>
  <si>
    <t>&gt; 2,5</t>
  </si>
  <si>
    <t>Buchweizen</t>
  </si>
  <si>
    <t>&lt; 1</t>
  </si>
  <si>
    <t>&gt; 3,0</t>
  </si>
  <si>
    <t>Elefantengras (Chinaschilf, Miscanthus sinensis)</t>
  </si>
  <si>
    <t>20 - 25</t>
  </si>
  <si>
    <t>&gt; 30</t>
  </si>
  <si>
    <t>&lt;3,0</t>
  </si>
  <si>
    <t>Erbsen - Getreide Gemenge</t>
  </si>
  <si>
    <t>Flachs (Faserlein) zur Fasererzeugung</t>
  </si>
  <si>
    <t>&lt; 10</t>
  </si>
  <si>
    <t>10.0 -12.0</t>
  </si>
  <si>
    <t>12.0 -14.0</t>
  </si>
  <si>
    <t>14 - 15</t>
  </si>
  <si>
    <t>&gt; 15</t>
  </si>
  <si>
    <t>Hanf</t>
  </si>
  <si>
    <t>Iberischer Drachenkopf</t>
  </si>
  <si>
    <t>Kanariensaat</t>
  </si>
  <si>
    <t>3,5 - 4</t>
  </si>
  <si>
    <t>4 - 4,5</t>
  </si>
  <si>
    <t>&gt; 4,5</t>
  </si>
  <si>
    <t>Kichererbsen</t>
  </si>
  <si>
    <t>&lt; 4</t>
  </si>
  <si>
    <t>4,0 - 6,0</t>
  </si>
  <si>
    <t>6,0 - 6,5</t>
  </si>
  <si>
    <t xml:space="preserve">6,5 - 8,0 </t>
  </si>
  <si>
    <t>Leindotter</t>
  </si>
  <si>
    <t>3,5 - 5</t>
  </si>
  <si>
    <t>5 - 6,5</t>
  </si>
  <si>
    <t>6,5 - 8</t>
  </si>
  <si>
    <t>&gt; 8</t>
  </si>
  <si>
    <t>Linsen</t>
  </si>
  <si>
    <t>Mais-Käferbohne</t>
  </si>
  <si>
    <t>Mariendisteln</t>
  </si>
  <si>
    <t>2,5 - 3</t>
  </si>
  <si>
    <t>&gt; 3</t>
  </si>
  <si>
    <t>Öllein</t>
  </si>
  <si>
    <t>Ölrettich</t>
  </si>
  <si>
    <t>Phacelia</t>
  </si>
  <si>
    <t>Platterbsen</t>
  </si>
  <si>
    <t>Senf</t>
  </si>
  <si>
    <t>Sommermenggetreide</t>
  </si>
  <si>
    <t>Sudangras</t>
  </si>
  <si>
    <t>57,5 - 65</t>
  </si>
  <si>
    <t>Topinambur (Süßkartoffel)</t>
  </si>
  <si>
    <t>Wicken - Getreide Gemenge</t>
  </si>
  <si>
    <t>manuelle Eingabe, arithmetisches Mittel</t>
  </si>
  <si>
    <t>Wintermenggetreide</t>
  </si>
  <si>
    <t>Artischocke</t>
  </si>
  <si>
    <t>&lt; 12</t>
  </si>
  <si>
    <t>12 - 20</t>
  </si>
  <si>
    <t>Brokkoli</t>
  </si>
  <si>
    <t>Buschbohne (gedroschen)</t>
  </si>
  <si>
    <t>&lt; 8</t>
  </si>
  <si>
    <t>8 - 12</t>
  </si>
  <si>
    <t>&gt; 12</t>
  </si>
  <si>
    <t>Buschbohne (gepflückt)</t>
  </si>
  <si>
    <t>Chicoree</t>
  </si>
  <si>
    <t>&lt; 20</t>
  </si>
  <si>
    <t>20 - 45</t>
  </si>
  <si>
    <t>&gt; 45</t>
  </si>
  <si>
    <t>Chinakohl</t>
  </si>
  <si>
    <t>&lt; 50</t>
  </si>
  <si>
    <t>50 - 70</t>
  </si>
  <si>
    <t>&gt; 70</t>
  </si>
  <si>
    <t>Dill</t>
  </si>
  <si>
    <t>&lt; 17</t>
  </si>
  <si>
    <t>17 - 22</t>
  </si>
  <si>
    <t>Eichblattsalat</t>
  </si>
  <si>
    <t>&gt; 35</t>
  </si>
  <si>
    <t>Eichblattsalat (geschützt)</t>
  </si>
  <si>
    <t>Eichblattsalat (Vlies)</t>
  </si>
  <si>
    <t>Eissalat</t>
  </si>
  <si>
    <t>&lt; 30</t>
  </si>
  <si>
    <t>30 - 35</t>
  </si>
  <si>
    <t>Endivie</t>
  </si>
  <si>
    <t>30 - 40</t>
  </si>
  <si>
    <t>&gt; 40</t>
  </si>
  <si>
    <t>Erbsen</t>
  </si>
  <si>
    <t>4 - 6</t>
  </si>
  <si>
    <t>&gt; 6</t>
  </si>
  <si>
    <t>Grünkohl</t>
  </si>
  <si>
    <t>&gt; 50</t>
  </si>
  <si>
    <t>Grünsoja</t>
  </si>
  <si>
    <t>&gt; 5</t>
  </si>
  <si>
    <t>Gurke (Einlegegurke)</t>
  </si>
  <si>
    <t>Gurke (Einlegegurke Tröpfchenbewässerung)</t>
  </si>
  <si>
    <t>Gurken (Salat-) (Freiland)</t>
  </si>
  <si>
    <t>Gurken (Salat-) (ungeheizt, Kurzkultur)</t>
  </si>
  <si>
    <t>Karfiol</t>
  </si>
  <si>
    <t>20 - 30</t>
  </si>
  <si>
    <t>Karotten (Bund oder Vlies)</t>
  </si>
  <si>
    <t>&lt; 45</t>
  </si>
  <si>
    <t>Karotten (Industrie)</t>
  </si>
  <si>
    <t>&lt; 70</t>
  </si>
  <si>
    <t>70 - 85</t>
  </si>
  <si>
    <t>&gt; 85</t>
  </si>
  <si>
    <t>Karotten (Lager)</t>
  </si>
  <si>
    <t>Kerbel</t>
  </si>
  <si>
    <t>Knoblauch (Frühjahr)</t>
  </si>
  <si>
    <t>4 - 5</t>
  </si>
  <si>
    <t>Knoblauch (Herbst)</t>
  </si>
  <si>
    <t>&lt; 5</t>
  </si>
  <si>
    <t>5 - 9</t>
  </si>
  <si>
    <t>&gt; 9</t>
  </si>
  <si>
    <t>Knollenfenchel</t>
  </si>
  <si>
    <t>Kochsalat</t>
  </si>
  <si>
    <t>Kohl (Herbst)</t>
  </si>
  <si>
    <t>Kohl (Vlies, Sommer)</t>
  </si>
  <si>
    <t>Kohlrabi</t>
  </si>
  <si>
    <t>Kohlrabi (geschützt, Herbst)</t>
  </si>
  <si>
    <t>Kohlrabi (Industrie)</t>
  </si>
  <si>
    <t>Kohlrabi (Vlies)</t>
  </si>
  <si>
    <t>Kopfsalat</t>
  </si>
  <si>
    <t>Kopfsalat (geschützt)</t>
  </si>
  <si>
    <t>Kopfsalat (Vlies)</t>
  </si>
  <si>
    <t>Kraut (Früh, Vlies)</t>
  </si>
  <si>
    <t>Kraut (Herbst)</t>
  </si>
  <si>
    <t>&lt; 65</t>
  </si>
  <si>
    <t>65 - 75</t>
  </si>
  <si>
    <t>&gt; 75</t>
  </si>
  <si>
    <t>Kraut (Industrie, früh)</t>
  </si>
  <si>
    <t>&lt; 90</t>
  </si>
  <si>
    <t>90 - 110</t>
  </si>
  <si>
    <t>&gt; 110</t>
  </si>
  <si>
    <t>Kraut (Industrie, spät)</t>
  </si>
  <si>
    <t>Kraut (Lager)</t>
  </si>
  <si>
    <t>Kraut (Sommer)</t>
  </si>
  <si>
    <t>Kren (Meerettich)</t>
  </si>
  <si>
    <t>8 - 10</t>
  </si>
  <si>
    <t>Lollo</t>
  </si>
  <si>
    <t>Lollo (geschützt)</t>
  </si>
  <si>
    <t>Lollo (Vlies)</t>
  </si>
  <si>
    <t>Mangold</t>
  </si>
  <si>
    <t>Melanzani, Aubergine (Freiland)</t>
  </si>
  <si>
    <t>Melanzani, Aubergine (geschützt)</t>
  </si>
  <si>
    <t>Melone</t>
  </si>
  <si>
    <t>&gt; 25</t>
  </si>
  <si>
    <t>Paprika</t>
  </si>
  <si>
    <t>40 - 60</t>
  </si>
  <si>
    <t>&gt; 60</t>
  </si>
  <si>
    <t>Pastinak</t>
  </si>
  <si>
    <t>Petersilie</t>
  </si>
  <si>
    <t>Porree (früh, Folie)</t>
  </si>
  <si>
    <t>30 - 45</t>
  </si>
  <si>
    <t>Porree (Herbst, Winter)</t>
  </si>
  <si>
    <t>Porree (Hybrid)</t>
  </si>
  <si>
    <t>Radicchio</t>
  </si>
  <si>
    <t>Radieschen (Frühjahr)</t>
  </si>
  <si>
    <t>Radieschen (Frühjahr/Herbst)</t>
  </si>
  <si>
    <t>Radieschen (Sommer)</t>
  </si>
  <si>
    <t>Rettich schwarz</t>
  </si>
  <si>
    <t>Rettich schwarz (ungeheizt, Frühjahr)</t>
  </si>
  <si>
    <t>Rettich weiß (Bierrettich)</t>
  </si>
  <si>
    <t>Rettich weiß (ungeheizt, Frühjahr)</t>
  </si>
  <si>
    <t>Rhabarber</t>
  </si>
  <si>
    <t>Rote Rüben (Frischmarkt)</t>
  </si>
  <si>
    <t>&gt; 80</t>
  </si>
  <si>
    <t>Rote Rüben (Industrie)</t>
  </si>
  <si>
    <t>Rucola</t>
  </si>
  <si>
    <t>Schnittlauch</t>
  </si>
  <si>
    <t>Schwarzwurzel</t>
  </si>
  <si>
    <t>&lt; 22</t>
  </si>
  <si>
    <t>22 - 28</t>
  </si>
  <si>
    <t>&gt; 28</t>
  </si>
  <si>
    <t>Sellerie (Knollen)</t>
  </si>
  <si>
    <t>Sellerie (Stangen-, Bleich-)</t>
  </si>
  <si>
    <t>Sonstige Flächen: Geschützter Anbau</t>
  </si>
  <si>
    <t xml:space="preserve"> -</t>
  </si>
  <si>
    <t>Spargel (Ertragsanlage)</t>
  </si>
  <si>
    <t>4 - 7</t>
  </si>
  <si>
    <t>&gt; 7</t>
  </si>
  <si>
    <t>Speisekürbis, Zierkürbis</t>
  </si>
  <si>
    <t>Spinat (Blattspinat)</t>
  </si>
  <si>
    <t>20 - 28</t>
  </si>
  <si>
    <t>Spinat (Passierspinat)</t>
  </si>
  <si>
    <t>Spinat (Überwinterung)</t>
  </si>
  <si>
    <t>Sprossenkohl</t>
  </si>
  <si>
    <t>10 - 15</t>
  </si>
  <si>
    <t>Stangenbohne frisch (Fisole)</t>
  </si>
  <si>
    <t>Stangenbohne, Käferbohne (trocken)</t>
  </si>
  <si>
    <t>&lt; 1,8</t>
  </si>
  <si>
    <t>1,8 - 2,2</t>
  </si>
  <si>
    <t>&gt; 2,2</t>
  </si>
  <si>
    <t>Tomate, Paradeiser (Freiland)</t>
  </si>
  <si>
    <t>50 - 80</t>
  </si>
  <si>
    <t>Tomate, Paradeiser (geschützt)</t>
  </si>
  <si>
    <t>Vogerlsalat (Rapunzel)</t>
  </si>
  <si>
    <t>6,5 - 8,5</t>
  </si>
  <si>
    <t>Zucchini</t>
  </si>
  <si>
    <t>Zuckerhut</t>
  </si>
  <si>
    <t>Zuckermais (Körner)</t>
  </si>
  <si>
    <t>12 - 14</t>
  </si>
  <si>
    <t>&gt; 14</t>
  </si>
  <si>
    <t>Zwiebel (Bund, Frühjahr)</t>
  </si>
  <si>
    <t>40 - 55</t>
  </si>
  <si>
    <t>Zwiebel (Bund, Sommer)</t>
  </si>
  <si>
    <t>Zwiebel (Bund, Überwinterung)</t>
  </si>
  <si>
    <t>Zwiebel (Sommer, trocken)</t>
  </si>
  <si>
    <t>Zwiebel (Winter, trocken)</t>
  </si>
  <si>
    <t>Obst und Hopfen:</t>
  </si>
  <si>
    <t>Brombeere</t>
  </si>
  <si>
    <t>Edelkastanien</t>
  </si>
  <si>
    <t>Heidelbeere</t>
  </si>
  <si>
    <t>Himbeere</t>
  </si>
  <si>
    <t>Holunder</t>
  </si>
  <si>
    <t>Hopfen</t>
  </si>
  <si>
    <t>Kirschen</t>
  </si>
  <si>
    <t>Marille</t>
  </si>
  <si>
    <t>Nektarinen</t>
  </si>
  <si>
    <t>Pfirsiche</t>
  </si>
  <si>
    <t>Pflaumen</t>
  </si>
  <si>
    <t>Preiselbeere</t>
  </si>
  <si>
    <t>Quitten</t>
  </si>
  <si>
    <t>Johannisbeere</t>
  </si>
  <si>
    <t>Schalenfrüchte (Walnüsse, Haselnüsse,...)</t>
  </si>
  <si>
    <t>Stachelbeere</t>
  </si>
  <si>
    <t>Tafeläpfel</t>
  </si>
  <si>
    <t>Tafelbirnen</t>
  </si>
  <si>
    <t>Weichseln</t>
  </si>
  <si>
    <t>Zwetschken</t>
  </si>
  <si>
    <t>Wein (inkl. Schnittweingarten):</t>
  </si>
  <si>
    <t>Aufdüngung von Neuanlagen</t>
  </si>
  <si>
    <t>Wein - Triebwachstum schwach - Oberbodendüngung</t>
  </si>
  <si>
    <t>Wein - Triebwachstum schwach - Unterbodendüngung</t>
  </si>
  <si>
    <t>Wein - Triebwachstum schwach - Ober- und Unterbodendüngung</t>
  </si>
  <si>
    <t>Wein - Triebwachstum mittel - Oberbodendüngung</t>
  </si>
  <si>
    <t>Wein - Triebwachstum mittel - Unterbodendüngung</t>
  </si>
  <si>
    <t>Wein - Triebwachstum mittel - Ober- und Unterbodendüngung</t>
  </si>
  <si>
    <t>Wein - Triebwachstum stark - Oberbodendüngung</t>
  </si>
  <si>
    <t>Wein - Triebwachstum stark - Unterbodendüngung</t>
  </si>
  <si>
    <t>Wein - Triebwachstum stark - Ober- und Unterbodendüngung</t>
  </si>
  <si>
    <t>Wein Bodengesundung</t>
  </si>
  <si>
    <t>Ackerstiefmütterchen</t>
  </si>
  <si>
    <t>Alant</t>
  </si>
  <si>
    <t>Anis</t>
  </si>
  <si>
    <t>Arnika (Berg-)</t>
  </si>
  <si>
    <t>Artemisia-Arten</t>
  </si>
  <si>
    <t>Baldrian</t>
  </si>
  <si>
    <t xml:space="preserve">Basilikum </t>
  </si>
  <si>
    <t>Bibernelle</t>
  </si>
  <si>
    <t>Bockshornklee</t>
  </si>
  <si>
    <t>Bohnenkraut</t>
  </si>
  <si>
    <t>Borretsch</t>
  </si>
  <si>
    <t>Brennnessel</t>
  </si>
  <si>
    <t>Eibisch</t>
  </si>
  <si>
    <t>Engelwurz</t>
  </si>
  <si>
    <t>Fingerhut</t>
  </si>
  <si>
    <t>Flohsamen</t>
  </si>
  <si>
    <t>Gelber Enzian 1. Jahr</t>
  </si>
  <si>
    <t>Gelber Enzian 2. Jahr</t>
  </si>
  <si>
    <t>Gelber Enzian 3. Jahr</t>
  </si>
  <si>
    <t>Gewürzfenchel</t>
  </si>
  <si>
    <t>Ginseng</t>
  </si>
  <si>
    <t>Goldmelisse</t>
  </si>
  <si>
    <t>Johanniskraut</t>
  </si>
  <si>
    <t>Kamille</t>
  </si>
  <si>
    <t>Klatschmohn</t>
  </si>
  <si>
    <t>Königskerze</t>
  </si>
  <si>
    <t>Koriander</t>
  </si>
  <si>
    <t>Kornblume</t>
  </si>
  <si>
    <t>Lavendel</t>
  </si>
  <si>
    <t>Liebstöckel</t>
  </si>
  <si>
    <t>Majoran</t>
  </si>
  <si>
    <t xml:space="preserve">Malve (incl. Stockmalve) </t>
  </si>
  <si>
    <t>Maralwurzel</t>
  </si>
  <si>
    <t>Minze</t>
  </si>
  <si>
    <t>Mutterkraut</t>
  </si>
  <si>
    <t>Nachtkerze</t>
  </si>
  <si>
    <t>Oregano</t>
  </si>
  <si>
    <t>Rainfarn</t>
  </si>
  <si>
    <t>Ringelblume</t>
  </si>
  <si>
    <t>Saflor</t>
  </si>
  <si>
    <t>Salbei</t>
  </si>
  <si>
    <t>Schabzigerklee</t>
  </si>
  <si>
    <t>Schafgarbe</t>
  </si>
  <si>
    <t>Schisandra</t>
  </si>
  <si>
    <t>Schlüsselblume</t>
  </si>
  <si>
    <t>Schöllkraut</t>
  </si>
  <si>
    <t>Schwarzkümmel</t>
  </si>
  <si>
    <t>Sonnenhut</t>
  </si>
  <si>
    <t>Spitzwegerich</t>
  </si>
  <si>
    <t>Stechapfel</t>
  </si>
  <si>
    <t>Steinklee</t>
  </si>
  <si>
    <t>Studentenblume</t>
  </si>
  <si>
    <t>Thymian</t>
  </si>
  <si>
    <t>Timothe</t>
  </si>
  <si>
    <t>Tollkirsche</t>
  </si>
  <si>
    <t>Wallwurz</t>
  </si>
  <si>
    <t>Weidenröschen</t>
  </si>
  <si>
    <t>Ysop</t>
  </si>
  <si>
    <t>Zitronenmelisse</t>
  </si>
  <si>
    <t>Sonstige Nutzungen:</t>
  </si>
  <si>
    <t>Erstaufforstung</t>
  </si>
  <si>
    <t>Neuaufforstungspflege</t>
  </si>
  <si>
    <t>Sonstige Aufforstungsfläche</t>
  </si>
  <si>
    <t>Waldumweltmaßnahmen</t>
  </si>
  <si>
    <t>Bei Doppelnutzungen ist der Wert der jeweils angebauten Kulturen zusammenzuzählen.</t>
  </si>
  <si>
    <t>Für Kulturen im geschützten Anbau gelten die Werte wie bei Ackerkulturen, Gemüse, Heil- und Gewürzpflanzen oder Obst und Hopfen.</t>
  </si>
  <si>
    <r>
      <t xml:space="preserve">LK-Dünger-
</t>
    </r>
    <r>
      <rPr>
        <b/>
        <sz val="18"/>
        <rFont val="Arial"/>
        <family val="2"/>
      </rPr>
      <t>Aufzeichnungsprogramm</t>
    </r>
  </si>
  <si>
    <t>Datum</t>
  </si>
  <si>
    <t>Betriebsnummer</t>
  </si>
  <si>
    <r>
      <t xml:space="preserve">Gesamtbetriebliche Düngerberechnung 
</t>
    </r>
    <r>
      <rPr>
        <sz val="16"/>
        <rFont val="Arial"/>
        <family val="2"/>
      </rPr>
      <t>nach § 7 Absatz 5 des Aktionsprogrammes</t>
    </r>
  </si>
  <si>
    <r>
      <t xml:space="preserve">1a  </t>
    </r>
    <r>
      <rPr>
        <b/>
        <sz val="11"/>
        <color indexed="12"/>
        <rFont val="Arial"/>
        <family val="2"/>
      </rPr>
      <t>Die gesamte landwirtschaftliche Nutzfläche des Betriebes</t>
    </r>
  </si>
  <si>
    <r>
      <t xml:space="preserve">1b  </t>
    </r>
    <r>
      <rPr>
        <b/>
        <sz val="11"/>
        <color indexed="12"/>
        <rFont val="Arial"/>
        <family val="2"/>
      </rPr>
      <t>Die landwirtschaftliche Nutzfläche, auf der Stickstoff ausgebracht wurde</t>
    </r>
  </si>
  <si>
    <r>
      <t xml:space="preserve">2a  </t>
    </r>
    <r>
      <rPr>
        <b/>
        <sz val="11"/>
        <color indexed="12"/>
        <rFont val="Arial"/>
        <family val="2"/>
      </rPr>
      <t xml:space="preserve">Stickstoff </t>
    </r>
    <r>
      <rPr>
        <sz val="9"/>
        <rFont val="Arial"/>
        <family val="2"/>
      </rPr>
      <t>ab Lager</t>
    </r>
    <r>
      <rPr>
        <b/>
        <sz val="9"/>
        <color indexed="12"/>
        <rFont val="Arial"/>
        <family val="2"/>
      </rPr>
      <t xml:space="preserve">  </t>
    </r>
    <r>
      <rPr>
        <b/>
        <sz val="11"/>
        <color indexed="12"/>
        <rFont val="Arial"/>
        <family val="2"/>
      </rPr>
      <t>aus der eigenen Tierhaltung</t>
    </r>
  </si>
  <si>
    <r>
      <t xml:space="preserve">2b  </t>
    </r>
    <r>
      <rPr>
        <b/>
        <sz val="11"/>
        <color indexed="12"/>
        <rFont val="Arial"/>
        <family val="2"/>
      </rPr>
      <t xml:space="preserve">Wirtschaftsdüngerstickstoff </t>
    </r>
    <r>
      <rPr>
        <sz val="9"/>
        <rFont val="Arial"/>
        <family val="2"/>
      </rPr>
      <t>ab Lager</t>
    </r>
    <r>
      <rPr>
        <b/>
        <sz val="9"/>
        <color indexed="12"/>
        <rFont val="Arial"/>
        <family val="2"/>
      </rPr>
      <t xml:space="preserve"> - </t>
    </r>
    <r>
      <rPr>
        <b/>
        <sz val="10"/>
        <color indexed="12"/>
        <rFont val="Arial"/>
        <family val="2"/>
      </rPr>
      <t>der an andere Betriebe 
       abgegeben oder von anderen übernommen wurde</t>
    </r>
    <r>
      <rPr>
        <b/>
        <sz val="9"/>
        <color indexed="12"/>
        <rFont val="Arial"/>
        <family val="2"/>
      </rPr>
      <t xml:space="preserve"> </t>
    </r>
  </si>
  <si>
    <r>
      <t xml:space="preserve">2c  </t>
    </r>
    <r>
      <rPr>
        <b/>
        <sz val="11"/>
        <color indexed="12"/>
        <rFont val="Arial"/>
        <family val="2"/>
      </rPr>
      <t xml:space="preserve">Wirtschaftsdüngerstickstoff </t>
    </r>
    <r>
      <rPr>
        <sz val="9"/>
        <rFont val="Arial"/>
        <family val="2"/>
      </rPr>
      <t>ab Lager</t>
    </r>
    <r>
      <rPr>
        <sz val="11"/>
        <rFont val="Arial"/>
        <family val="2"/>
      </rPr>
      <t xml:space="preserve"> 
      </t>
    </r>
    <r>
      <rPr>
        <b/>
        <sz val="11"/>
        <color indexed="12"/>
        <rFont val="Arial"/>
        <family val="2"/>
      </rPr>
      <t>der am Betrieb ausgebracht wurde</t>
    </r>
  </si>
  <si>
    <t>je ha</t>
  </si>
  <si>
    <t>gesamtbetrieblich</t>
  </si>
  <si>
    <r>
      <t xml:space="preserve">3a  </t>
    </r>
    <r>
      <rPr>
        <b/>
        <sz val="11"/>
        <color indexed="12"/>
        <rFont val="Arial"/>
        <family val="2"/>
      </rPr>
      <t xml:space="preserve">Stickstoff aus organischen Düngern </t>
    </r>
    <r>
      <rPr>
        <sz val="9"/>
        <rFont val="Arial"/>
        <family val="2"/>
      </rPr>
      <t>feldfallend</t>
    </r>
    <r>
      <rPr>
        <b/>
        <sz val="11"/>
        <color indexed="12"/>
        <rFont val="Arial"/>
        <family val="2"/>
      </rPr>
      <t xml:space="preserve">, </t>
    </r>
    <r>
      <rPr>
        <sz val="11"/>
        <rFont val="Arial"/>
        <family val="2"/>
      </rPr>
      <t>nichttierischer Herkunft</t>
    </r>
  </si>
  <si>
    <r>
      <t xml:space="preserve">3b  </t>
    </r>
    <r>
      <rPr>
        <b/>
        <sz val="11"/>
        <color indexed="12"/>
        <rFont val="Arial"/>
        <family val="2"/>
      </rPr>
      <t xml:space="preserve">Stickstoff aus mineralischen Handelsdüngern </t>
    </r>
    <r>
      <rPr>
        <sz val="9"/>
        <rFont val="Arial"/>
        <family val="2"/>
      </rPr>
      <t>feldfallend</t>
    </r>
  </si>
  <si>
    <r>
      <t xml:space="preserve">3c  </t>
    </r>
    <r>
      <rPr>
        <b/>
        <sz val="11"/>
        <color indexed="12"/>
        <rFont val="Arial"/>
        <family val="2"/>
      </rPr>
      <t xml:space="preserve">Gesamter feldfallender Stickstoffeinsatz </t>
    </r>
    <r>
      <rPr>
        <sz val="11"/>
        <rFont val="Arial"/>
        <family val="2"/>
      </rPr>
      <t>am Betrieb</t>
    </r>
  </si>
  <si>
    <t>gesamt-betrieblich</t>
  </si>
  <si>
    <r>
      <t xml:space="preserve">3d  </t>
    </r>
    <r>
      <rPr>
        <b/>
        <sz val="11"/>
        <color indexed="12"/>
        <rFont val="Arial"/>
        <family val="2"/>
      </rPr>
      <t>Gesamter jahreswirksamer Stickstoffeinsatz</t>
    </r>
    <r>
      <rPr>
        <sz val="11"/>
        <rFont val="Arial"/>
        <family val="2"/>
      </rPr>
      <t xml:space="preserve"> am Betrieb</t>
    </r>
  </si>
  <si>
    <r>
      <t xml:space="preserve">7.  </t>
    </r>
    <r>
      <rPr>
        <b/>
        <sz val="11"/>
        <color indexed="12"/>
        <rFont val="Arial"/>
        <family val="2"/>
      </rPr>
      <t>Stickstoffbedarf der Kulturen</t>
    </r>
    <r>
      <rPr>
        <sz val="11"/>
        <rFont val="Arial"/>
        <family val="2"/>
      </rPr>
      <t xml:space="preserve"> am Betrieb minus Vorfruchtwirkung</t>
    </r>
  </si>
  <si>
    <r>
      <t xml:space="preserve">8.  </t>
    </r>
    <r>
      <rPr>
        <b/>
        <sz val="12"/>
        <color indexed="12"/>
        <rFont val="Arial"/>
        <family val="2"/>
      </rPr>
      <t>N-Saldo</t>
    </r>
    <r>
      <rPr>
        <sz val="12"/>
        <rFont val="Arial"/>
        <family val="2"/>
      </rPr>
      <t xml:space="preserve"> - Gegenüberstellung N-Einsatz und N-Bedarf</t>
    </r>
  </si>
  <si>
    <r>
      <t xml:space="preserve">9.  </t>
    </r>
    <r>
      <rPr>
        <b/>
        <sz val="12"/>
        <color indexed="12"/>
        <rFont val="Arial"/>
        <family val="2"/>
      </rPr>
      <t>P-Saldo</t>
    </r>
    <r>
      <rPr>
        <sz val="12"/>
        <rFont val="Arial"/>
        <family val="2"/>
      </rPr>
      <t xml:space="preserve"> - Gegenüberstellung P-Einsatz und P-Bedarf</t>
    </r>
  </si>
  <si>
    <t>■ Die Einhaltung der Düngevorschriften (CC-Parameter)</t>
  </si>
  <si>
    <t>eingehalten
ja / nein</t>
  </si>
  <si>
    <t>• § 8 Aktionsprogramm: Die Begrenzung des Ausbringens von Stickstoff 
  aus Wirtschaftsdüngern auf maximal 170 kg N                (siehe Nr. 2c)</t>
  </si>
  <si>
    <t>• Gesamtbegrenzung des Ausbringens von Stickstoff auf maximal 175 kg 
  bzw. 210 kg N im Ø der LN                                   (siehe oben  Nr. 3c)</t>
  </si>
  <si>
    <t>• Der N-Bedarf der Kulturen muss über dem N-Einsatz liegen</t>
  </si>
  <si>
    <r>
      <t xml:space="preserve">Der Stickstoffbedarf der einzelnen Kulturen
</t>
    </r>
    <r>
      <rPr>
        <sz val="12"/>
        <rFont val="Arial"/>
        <family val="2"/>
      </rPr>
      <t>laut § 7 Absatz 5, Punkt 4</t>
    </r>
  </si>
  <si>
    <t>Ackerflächen und Spezialkulturen</t>
  </si>
  <si>
    <t>Kultur
fläche</t>
  </si>
  <si>
    <t>Ertrags
lage</t>
  </si>
  <si>
    <t>N je ha</t>
  </si>
  <si>
    <t>N-Menge 
je Kultur</t>
  </si>
  <si>
    <t>N kg 
je Kultur</t>
  </si>
  <si>
    <t>abzüglich Stickstoffnachlieferung aus Vorfrüchten</t>
  </si>
  <si>
    <t xml:space="preserve">System Immergrün - Begrünung der Ackerflächen mit mindestens 85%                                  </t>
  </si>
  <si>
    <t>HF</t>
  </si>
  <si>
    <t>ja HF</t>
  </si>
  <si>
    <t>nicht dauerhaft begrünt</t>
  </si>
  <si>
    <r>
      <t xml:space="preserve">System Immergrün - </t>
    </r>
    <r>
      <rPr>
        <sz val="16"/>
        <rFont val="Arial"/>
        <family val="2"/>
      </rPr>
      <t>Ausfüllanleitung</t>
    </r>
  </si>
  <si>
    <t>MFA</t>
  </si>
  <si>
    <t>Betrieb:</t>
  </si>
  <si>
    <t>Betriebsnummer:</t>
  </si>
  <si>
    <t>ZWF</t>
  </si>
  <si>
    <t>ja ZWF</t>
  </si>
  <si>
    <t>Summe Ackerfläche</t>
  </si>
  <si>
    <t>Der Berechnungs- und Aufzeichnungszeitraum reicht vom 1. Jänner bis zum 31. Dezember des Jahres laut MFA.
Dementsprechend können nur Tage des MFA's laut Tabellenblatt Betrieb eingegeben werden.
Das Datum des Herbstanbaues im Vorjahr muss bzw. kann nicht eingegeben werden, 
hier genügt ein "ja HF" oder "ja ZWF" in der Spalte "begrünt am 1. Jänner".</t>
  </si>
  <si>
    <r>
      <t xml:space="preserve">Summe der Ackerfläche lt. MFA </t>
    </r>
    <r>
      <rPr>
        <sz val="14"/>
        <rFont val="Arial"/>
        <family val="2"/>
      </rPr>
      <t>in ha:</t>
    </r>
  </si>
  <si>
    <t>System Immergrün gilt als eingehalten, wenn an jedem Tag des Jahres mindestens 85 %  als begrünt gelten!</t>
  </si>
  <si>
    <t>Summe eingegebene Ackerfläche</t>
  </si>
  <si>
    <t xml:space="preserve">Das heißt, es dürfen nicht mehr als 15 % der Ackerfläche am gleichen Tag (zB Frühjahr oder Herbst) eine Fehlermeldung haben! </t>
  </si>
  <si>
    <t>Fläche nicht begrünt</t>
  </si>
  <si>
    <t>FS- Nr.</t>
  </si>
  <si>
    <t>Schlag- Nr.</t>
  </si>
  <si>
    <t>Schlag-
fläche</t>
  </si>
  <si>
    <r>
      <t xml:space="preserve">Feldstück 
</t>
    </r>
    <r>
      <rPr>
        <sz val="11"/>
        <rFont val="Arial"/>
        <family val="2"/>
      </rPr>
      <t>Bezeich-nung</t>
    </r>
  </si>
  <si>
    <t>begrünt
am 1.Jän.</t>
  </si>
  <si>
    <r>
      <t>Datum</t>
    </r>
    <r>
      <rPr>
        <sz val="9"/>
        <rFont val="Arial"/>
        <family val="2"/>
      </rPr>
      <t xml:space="preserve"> Umbruch/ </t>
    </r>
    <r>
      <rPr>
        <sz val="10"/>
        <rFont val="Arial"/>
        <family val="2"/>
      </rPr>
      <t xml:space="preserve">Ernte 
</t>
    </r>
    <r>
      <rPr>
        <sz val="9"/>
        <rFont val="Arial"/>
        <family val="2"/>
      </rPr>
      <t xml:space="preserve">ZW-
</t>
    </r>
    <r>
      <rPr>
        <sz val="10"/>
        <rFont val="Arial"/>
        <family val="2"/>
      </rPr>
      <t>Frucht</t>
    </r>
  </si>
  <si>
    <t>Boden offen</t>
  </si>
  <si>
    <t>Hauptfrucht laut MFA</t>
  </si>
  <si>
    <r>
      <t>Anbau</t>
    </r>
    <r>
      <rPr>
        <sz val="11"/>
        <rFont val="Arial"/>
        <family val="2"/>
      </rPr>
      <t xml:space="preserve">  </t>
    </r>
    <r>
      <rPr>
        <b/>
        <sz val="11"/>
        <rFont val="Arial"/>
        <family val="2"/>
      </rPr>
      <t>Folgefrucht 1</t>
    </r>
  </si>
  <si>
    <r>
      <t>Anbau</t>
    </r>
    <r>
      <rPr>
        <sz val="11"/>
        <rFont val="Arial"/>
        <family val="2"/>
      </rPr>
      <t xml:space="preserve">  </t>
    </r>
    <r>
      <rPr>
        <b/>
        <sz val="11"/>
        <rFont val="Arial"/>
        <family val="2"/>
      </rPr>
      <t>Folgefrucht 2</t>
    </r>
  </si>
  <si>
    <r>
      <t>Anbau</t>
    </r>
    <r>
      <rPr>
        <sz val="11"/>
        <rFont val="Arial"/>
        <family val="2"/>
      </rPr>
      <t xml:space="preserve">  </t>
    </r>
    <r>
      <rPr>
        <b/>
        <sz val="11"/>
        <rFont val="Arial"/>
        <family val="2"/>
      </rPr>
      <t>Folgefrucht 3</t>
    </r>
  </si>
  <si>
    <t xml:space="preserve">System Immergrün </t>
  </si>
  <si>
    <t>aktueller
MFA</t>
  </si>
  <si>
    <t>Boden offen, oder zu kurz, zu spät …</t>
  </si>
  <si>
    <t>ZWF Dauer</t>
  </si>
  <si>
    <t>Anbau Begrünung nach 1. Okt</t>
  </si>
  <si>
    <t>Herbst-umbruch</t>
  </si>
  <si>
    <r>
      <t xml:space="preserve">System </t>
    </r>
    <r>
      <rPr>
        <sz val="8"/>
        <rFont val="Arial"/>
        <family val="2"/>
      </rPr>
      <t>Immergrün</t>
    </r>
  </si>
  <si>
    <t>Tage offener Boden</t>
  </si>
  <si>
    <t>30 oder 50 Tage</t>
  </si>
  <si>
    <t>zu lang offen</t>
  </si>
  <si>
    <t>Herbstumbruch</t>
  </si>
  <si>
    <t>Anbaudauer</t>
  </si>
  <si>
    <t>zu kurz</t>
  </si>
  <si>
    <t>Begrünung später als 30. September</t>
  </si>
  <si>
    <t>zu spät</t>
  </si>
  <si>
    <t>Datumseingabe: Tag Bindestrich Monat (Bindestrich Jahr) oder Tag Punkt Monat (Punkt Jahr)</t>
  </si>
  <si>
    <t>Frühjahrs-</t>
  </si>
  <si>
    <t>Ernte/…</t>
  </si>
  <si>
    <r>
      <t xml:space="preserve">Laufende schlagbezogene Aufzeichnungen über folgende Termine sind notwendig:
</t>
    </r>
    <r>
      <rPr>
        <sz val="10"/>
        <rFont val="Arial"/>
        <family val="2"/>
      </rPr>
      <t>- Ernte Hauptfrucht
- Anlage und Umbruch Zwischenfrucht (Begrünung)
- Anlage Nachfolge-Hauptfrucht</t>
    </r>
  </si>
  <si>
    <t>Anbau</t>
  </si>
  <si>
    <t>Umbruch</t>
  </si>
  <si>
    <t>Tage</t>
  </si>
  <si>
    <t>Kultur</t>
  </si>
  <si>
    <t>HF/
ZWF</t>
  </si>
  <si>
    <t>begrünt</t>
  </si>
  <si>
    <t>Fehlermeldung</t>
  </si>
  <si>
    <t>zu lange =1</t>
  </si>
  <si>
    <t>zu kurz=1</t>
  </si>
  <si>
    <t>zu spät =1</t>
  </si>
  <si>
    <t>ja=1</t>
  </si>
  <si>
    <t>ja=0 /nein=1</t>
  </si>
  <si>
    <t>vHK</t>
  </si>
  <si>
    <t>nHK</t>
  </si>
  <si>
    <t>n1.F</t>
  </si>
  <si>
    <t>n2.F</t>
  </si>
  <si>
    <t>n3.F</t>
  </si>
  <si>
    <t>Ergebnis</t>
  </si>
  <si>
    <t>Erg.</t>
  </si>
  <si>
    <t>1. Folgek</t>
  </si>
  <si>
    <t>2. Folgek</t>
  </si>
  <si>
    <t>3. Folgek</t>
  </si>
  <si>
    <t>Folge1</t>
  </si>
  <si>
    <t>Folge2</t>
  </si>
  <si>
    <t>Folge3</t>
  </si>
  <si>
    <r>
      <t>In den Spalten</t>
    </r>
    <r>
      <rPr>
        <b/>
        <sz val="10"/>
        <rFont val="Arial"/>
        <family val="2"/>
      </rPr>
      <t xml:space="preserve"> "Folgefrucht 1 - 3"</t>
    </r>
    <r>
      <rPr>
        <sz val="10"/>
        <rFont val="Arial"/>
        <family val="2"/>
      </rPr>
      <t xml:space="preserve"> sind alle Kulturen, die im Betrachtungszeitraum angebaut werden, 
einzutragen, das sind weitere Hauptkulturen, wie zB Buchweizen mit Mähdrusch, oder Gemüseanbau 
mit mehreren Sätzen, oder Sommer- und Winterbegrünungen und der Anbau von Winterungen für das Folgejahr.</t>
    </r>
  </si>
  <si>
    <r>
      <t xml:space="preserve">Eine Fläche gilt als begrünt, wenn der maximale Zeitraum zwischen:
</t>
    </r>
    <r>
      <rPr>
        <sz val="10"/>
        <rFont val="Arial"/>
        <family val="2"/>
      </rPr>
      <t xml:space="preserve"> - Ernte Hauptfrucht – Anlage Zwischenfrucht: 30 Tage
 - Umbruch Zwischenfrucht – Anbau Hauptfrucht: 30 Tage
 - Ernte Hauptfrucht – Anbau Hauptfrucht: 50 Tage nicht übersteigt</t>
    </r>
  </si>
  <si>
    <t>Die Anlage von Zwischenfrüchten hat bis spätestens 1. 10. zu erfolgen,
die Mindestanlagedauer von Zwischenfrüchten muss mindestens 35 Tage betragen.</t>
  </si>
  <si>
    <t>Zunächst muss angegeben werden, ob der Schlag am 1. Jänner mit einer Hauptfrucht (ja HF) oder einer Zwischenfrucht (ja ZWF) begrünt, oder nicht begrünt (nein) ist.</t>
  </si>
  <si>
    <t>In der nächsten Spalte ist das Datum der Beseitigung der Zwischenfucht, oder der Umbruch 
zB eines Feldfutters einzutragen. Zwischen Umbruch Zwischenfrucht und Anbau MFA Hauptfrucht 
dürfen nicht mehr als 30 Tage liegen. War das Feldfutter im letzten MFA eine Hauptfrucht dürfen 
zwischen Umbruch und Neu-Anbau nicht mehr als 50 Tage liegen.</t>
  </si>
  <si>
    <t>In den blauen Spalten wird die Dauer des offenen (nicht begrünten) Boden angezeigt. Wird dort ein 
Rautezechen (#) angezeigt - bedeutet das, dass noch ein Umbruchs- oder Anbaudatum fehlen.</t>
  </si>
  <si>
    <t>In den folgenden Spalten sind von linkes nach rechts alle weiteren Anbau- und Erntedaten samt Kulturen chronologisch einzugeben, wobei der Zusatz Hauptfrucht (HF) oder Zwischenfrucht (ZWF) wichtig ist 
für die korrekte Berechnung:</t>
  </si>
  <si>
    <t>Ganz rechts in den Spalten AA und AB wird angezeigt ob die Fläche als begrünt gilt, 
bzw ob der Boden zulange nicht begrünt (offen) war, ein Anbau zu spät, die Anbaudauer zu kurz war, 
oder der Boden offen in den Winter geht.</t>
  </si>
  <si>
    <t>In der Spalte AA wird der %-Anteil der nicht gegrünt geltenden Flächen angezeigt - zum gleichen Zeitpunkt dürfen nicht mehr als 15% als nicht begrünt gelten!</t>
  </si>
  <si>
    <t>Zum Beispiel könnte eine Fläche des Betriebes im Frühjahr brach liegen, nach einem späten Maisdrusch im Vorjahr und eine andere Fläche im Herbst nicht mehr begrünt werden, nach später Ernte. Das System Immergrün gilt als eingehalten, wenn keine der beiden Flächen über 15% der Betriebsfläche ausmachen, weil sich die beiden Brachezeiten nicht überschneiden!</t>
  </si>
  <si>
    <t xml:space="preserve">    Weideblatt für das Jahr </t>
  </si>
  <si>
    <t>ÖPUL 2015: Tierschutz - Weide</t>
  </si>
  <si>
    <t>Weidezeiträume (zwischen1. April und 15. November):</t>
  </si>
  <si>
    <t>Datum
von</t>
  </si>
  <si>
    <t>Datum
bis</t>
  </si>
  <si>
    <r>
      <t xml:space="preserve">Weideort
</t>
    </r>
    <r>
      <rPr>
        <sz val="11"/>
        <rFont val="Arial"/>
        <family val="2"/>
      </rPr>
      <t>(Feldstück)</t>
    </r>
  </si>
  <si>
    <r>
      <t xml:space="preserve">männliche
Rinder
</t>
    </r>
    <r>
      <rPr>
        <sz val="10"/>
        <rFont val="Arial"/>
        <family val="2"/>
      </rPr>
      <t>ab 1/2 Jahr</t>
    </r>
  </si>
  <si>
    <r>
      <t xml:space="preserve">weibliche
Jungrinder
</t>
    </r>
    <r>
      <rPr>
        <sz val="9"/>
        <rFont val="Arial"/>
        <family val="2"/>
      </rPr>
      <t xml:space="preserve">1/2 bis &lt;2 J </t>
    </r>
  </si>
  <si>
    <r>
      <t xml:space="preserve">weibliche
Rinder
</t>
    </r>
    <r>
      <rPr>
        <sz val="10"/>
        <rFont val="Arial"/>
        <family val="2"/>
      </rPr>
      <t>ab 2 Jahr</t>
    </r>
  </si>
  <si>
    <r>
      <t xml:space="preserve">weibliche
Schafe
</t>
    </r>
    <r>
      <rPr>
        <sz val="10"/>
        <rFont val="Arial"/>
        <family val="2"/>
      </rPr>
      <t>ab 1 Jahr</t>
    </r>
  </si>
  <si>
    <r>
      <t xml:space="preserve">weibliche
Ziegen
</t>
    </r>
    <r>
      <rPr>
        <sz val="10"/>
        <rFont val="Arial"/>
        <family val="2"/>
      </rPr>
      <t>ab 1 Jahr</t>
    </r>
  </si>
  <si>
    <t>Fremdweiden und Almen, auf die aufgetrieben wird:</t>
  </si>
  <si>
    <t>Name, Adresse</t>
  </si>
  <si>
    <t>Hinderungen, Unterbrechungen und besondere Vorkommnisse</t>
  </si>
  <si>
    <t>wie z.B. Witterungsextreme, Verkaufsvorbereitung, Tierschauen, Abkalbung, Brunst, Krankheit</t>
  </si>
  <si>
    <t>(Datum bzw. Zeitraum, Anzahl der Tiere und Kennzeichnung):</t>
  </si>
  <si>
    <t>Aufzeichungsblatt  - Bodennahe Ausbringung flüssiger Wirtschaftsdünger und Biogasgülle</t>
  </si>
  <si>
    <t xml:space="preserve">  MFA</t>
  </si>
  <si>
    <t>Maßnahme Bodennahe Wirtschaftsdünger und Biogasgülle</t>
  </si>
  <si>
    <r>
      <t xml:space="preserve">Verpflichtungen: </t>
    </r>
    <r>
      <rPr>
        <sz val="10"/>
        <color indexed="8"/>
        <rFont val="Arial"/>
        <family val="2"/>
      </rPr>
      <t>Es müssen mindestens 50 % des am Betrieb ausgebrachten flüssigen Wirtschaftsdüngers (inkl. Biogasgülle) auf Acker- oder Grünlandflächen des Betriebes mit  Schleppschlauchverteiler, Schleppschuhverteiler, oder Gülleinjektor ausgebracht werden. 
Bei Ausbringung auf unbewachsenem Boden ist der Wirtschaftsdünger innerhalb von 24 Stunden nach der Ausbringung einzuarbeiten. 
Die Ausbringung durch nicht im Eigentum befindlichen Geräten muss durch Rechnungen belegt werden. 
Über die bodennah ausgebrachte Menge an flüssigen Wirtschaftsdüngern / Biogasgülle und über die gedüngten Flächen sind schlagbezogene Aufzeichnungen zu führen.</t>
    </r>
  </si>
  <si>
    <r>
      <t xml:space="preserve">Datum
Aus-
</t>
    </r>
    <r>
      <rPr>
        <b/>
        <sz val="10"/>
        <rFont val="Arial"/>
        <family val="2"/>
      </rPr>
      <t>bringung</t>
    </r>
  </si>
  <si>
    <t>Düngerart</t>
  </si>
  <si>
    <t>Verfahren</t>
  </si>
  <si>
    <r>
      <t>Menge 
je ha 
in m</t>
    </r>
    <r>
      <rPr>
        <b/>
        <vertAlign val="superscript"/>
        <sz val="11"/>
        <rFont val="Arial"/>
        <family val="2"/>
      </rPr>
      <t>3</t>
    </r>
  </si>
  <si>
    <r>
      <t>Gesamte
Menge 
= ha x m</t>
    </r>
    <r>
      <rPr>
        <b/>
        <sz val="14"/>
        <rFont val="Arial"/>
        <family val="2"/>
      </rPr>
      <t>³</t>
    </r>
  </si>
  <si>
    <t>Schlepp-schlauch</t>
  </si>
  <si>
    <t>Gülle-injektion</t>
  </si>
  <si>
    <t>Hinweis: Summe muss mehr als die Hälfte der oben angegebenen am Betrieb ausgebrachten Menge an flüssigen Wirtschaftsdüngern ausmachen!</t>
  </si>
  <si>
    <t xml:space="preserve">Summe bodennah ausgebrachte Dünger: </t>
  </si>
  <si>
    <t>Beispiel</t>
  </si>
  <si>
    <t>Nr. 1 - Hausfeld</t>
  </si>
  <si>
    <t>Winterweizen</t>
  </si>
  <si>
    <t>x</t>
  </si>
  <si>
    <t>Dokumentation der Verwendung von Pflanzenschutzmitteln und Bioziden</t>
  </si>
  <si>
    <t>Name Adresse</t>
  </si>
  <si>
    <t>Betriebs-Nummer</t>
  </si>
  <si>
    <t>Behandelte Kultur</t>
  </si>
  <si>
    <t>Schlag-bezeichnung</t>
  </si>
  <si>
    <t>Produkt</t>
  </si>
  <si>
    <t>Menge / Konzentration              je ha</t>
  </si>
  <si>
    <t>Seit 14. Juni 2011 sind strengere Aufzeichnungsvorschriften für Pflanzenschutzmittel in Kraft. Es muss nun nicht mehr nur das Pflanzenschutzmittel, das Datum der Ausbringung und die Kultur, sondern auch die Aufwandmenge aufgezeichnet werden.</t>
  </si>
  <si>
    <t>Es können die Aufzeichnungen auch auf den Schlagblättern gemacht werden. Einfach auf dem Düngerblatt links in den grünen Zellen die einzelnen Pflanzenschutzmittel anlegen. Diese können dann am Schlag ausgewählt werden und in die Spalte "Menge" die Aufwandmenge als Zahl eintragen, ohne Liter-, Kg- oder Gramm-Zeichen. Unter Planung oder Bemerkung können detailierte Angaben gemacht werden.</t>
  </si>
  <si>
    <t>zur Tierliste</t>
  </si>
  <si>
    <t>Masthendl</t>
  </si>
  <si>
    <t>Tabelle zur Errechnung des durchschnittlichen Tierbestandes</t>
  </si>
  <si>
    <t>Durchschnittlicher Tierbestand</t>
  </si>
  <si>
    <t>Küken und Junghennen</t>
  </si>
  <si>
    <t>während eines Jahres  © 2004 by VLV</t>
  </si>
  <si>
    <t>Nährstoffbestimmender Tierbestand</t>
  </si>
  <si>
    <t>Bestandsveränderungen</t>
  </si>
  <si>
    <t>Bedienungshinweise</t>
  </si>
  <si>
    <t>Zugang</t>
  </si>
  <si>
    <t>Abgang</t>
  </si>
  <si>
    <t>Aktueller Bestand</t>
  </si>
  <si>
    <t>Tage Diff</t>
  </si>
  <si>
    <t>Bestand*Diff</t>
  </si>
  <si>
    <t>Anfangsbestand</t>
  </si>
  <si>
    <r>
      <t xml:space="preserve">Tierart auswählen und  Anfangstierbestand in Zelle </t>
    </r>
    <r>
      <rPr>
        <b/>
        <sz val="12"/>
        <rFont val="Arial"/>
        <family val="2"/>
      </rPr>
      <t>'D9'</t>
    </r>
    <r>
      <rPr>
        <sz val="12"/>
        <rFont val="Arial"/>
        <family val="2"/>
      </rPr>
      <t xml:space="preserve"> eintragen</t>
    </r>
  </si>
  <si>
    <t>Der Durchschnittsbestand wird automatisch für ein Jahr ab diesem Datum berechnet</t>
  </si>
  <si>
    <t>Die Eintragungen haben in chronolgischer Reihenfolge zu erfolgen</t>
  </si>
  <si>
    <t>Leerzeilen sind zu vermeiden</t>
  </si>
  <si>
    <t>Zu jeder Erfassung eines Zu- und Abganges ist die Erfassung des zugehörigen Datums notwendig</t>
  </si>
  <si>
    <t>Für Programmfehler wird keine Haftung übernommen!</t>
  </si>
  <si>
    <t>Verbesserungsvorschläge werden gerne entgegengenommen.</t>
  </si>
  <si>
    <t>N ab Lager = Stickstoffanfall nach Abzug der Stall- und Lagerverluste</t>
  </si>
  <si>
    <r>
      <t xml:space="preserve">N-Anfall feldfallend         </t>
    </r>
    <r>
      <rPr>
        <sz val="12"/>
        <rFont val="Arial"/>
        <family val="2"/>
      </rPr>
      <t xml:space="preserve"> je Platz</t>
    </r>
  </si>
  <si>
    <r>
      <t xml:space="preserve">Wirtschaftsdüngeranfallsmengen in 6 Monate                       </t>
    </r>
    <r>
      <rPr>
        <sz val="11"/>
        <rFont val="Arial"/>
        <family val="2"/>
      </rPr>
      <t>je Stallplatz in m3 &gt;&gt; entspricht vorgeschriebene Lagerkapazität</t>
    </r>
  </si>
  <si>
    <t>Tierart</t>
  </si>
  <si>
    <t>Mist        Anteil</t>
  </si>
  <si>
    <t xml:space="preserve">Tiefstall-  mist             </t>
  </si>
  <si>
    <t>Mist Anteil</t>
  </si>
  <si>
    <t xml:space="preserve">Tiefstall mist             </t>
  </si>
  <si>
    <r>
      <t>Gülle</t>
    </r>
    <r>
      <rPr>
        <b/>
        <vertAlign val="superscript"/>
        <sz val="12"/>
        <rFont val="Arial"/>
        <family val="2"/>
      </rPr>
      <t>3)</t>
    </r>
    <r>
      <rPr>
        <sz val="12"/>
        <rFont val="Arial"/>
        <family val="2"/>
      </rPr>
      <t xml:space="preserve"> uvb.*  </t>
    </r>
  </si>
  <si>
    <r>
      <t>Jauche</t>
    </r>
    <r>
      <rPr>
        <b/>
        <vertAlign val="superscript"/>
        <sz val="12"/>
        <rFont val="Arial"/>
        <family val="2"/>
      </rPr>
      <t xml:space="preserve">2) </t>
    </r>
    <r>
      <rPr>
        <sz val="12"/>
        <rFont val="Arial"/>
        <family val="2"/>
      </rPr>
      <t>uvb.*</t>
    </r>
  </si>
  <si>
    <r>
      <t>Mist</t>
    </r>
    <r>
      <rPr>
        <b/>
        <vertAlign val="superscript"/>
        <sz val="12"/>
        <rFont val="Arial"/>
        <family val="2"/>
      </rPr>
      <t>1)</t>
    </r>
  </si>
  <si>
    <r>
      <t>Tiefstallmist</t>
    </r>
    <r>
      <rPr>
        <b/>
        <vertAlign val="superscript"/>
        <sz val="12"/>
        <rFont val="Arial"/>
        <family val="2"/>
      </rPr>
      <t>4)</t>
    </r>
    <r>
      <rPr>
        <b/>
        <sz val="12"/>
        <rFont val="Arial"/>
        <family val="2"/>
      </rPr>
      <t xml:space="preserve">  </t>
    </r>
  </si>
  <si>
    <t>Jungrinder</t>
  </si>
  <si>
    <t>Kälber und Jungrinder unter 1/2 Jahr</t>
  </si>
  <si>
    <t>andere Kälber und Jungrinder unter 1/2 Jahr</t>
  </si>
  <si>
    <t>Jungvieh 1/2 bis 1 Jahr</t>
  </si>
  <si>
    <r>
      <t>Aufteilung bei Stiermast</t>
    </r>
    <r>
      <rPr>
        <sz val="8"/>
        <rFont val="Arial"/>
        <family val="2"/>
      </rPr>
      <t>:</t>
    </r>
  </si>
  <si>
    <t>Jungvieh 1 bis 2 Jahr</t>
  </si>
  <si>
    <t xml:space="preserve">Rinder ab 2 Jahre </t>
  </si>
  <si>
    <t>Ochsen, Stiere</t>
  </si>
  <si>
    <t>Kalbinnen</t>
  </si>
  <si>
    <t>Milchkühe ohne Nachzucht</t>
  </si>
  <si>
    <t>Milchleistung  Kuh = gelieferte u. direkt vermarktete zuzüglich 320 kg je Kuh für verfütterte u. verbrauchte Milch</t>
  </si>
  <si>
    <t>Milch- bzw. Mutterkühe (3000 kg Milch)</t>
  </si>
  <si>
    <t>Milchkühe (5000 kg Milch)</t>
  </si>
  <si>
    <t>Milch- bzw. Ammenkühe (4000 kg Milch)</t>
  </si>
  <si>
    <t>von 3.500 - 4.499</t>
  </si>
  <si>
    <t>Milchkühe (6000 kg Milch)</t>
  </si>
  <si>
    <t>von 4.500 - 5.499</t>
  </si>
  <si>
    <t>Milchkühe (7000 kg Milch)</t>
  </si>
  <si>
    <t>von 5.500 - 6.499</t>
  </si>
  <si>
    <t>Milchkühe (8000 kg Milch)</t>
  </si>
  <si>
    <t>von 6.500 - 7.499</t>
  </si>
  <si>
    <t>Milchkühe (9000 kg Milch)</t>
  </si>
  <si>
    <t>von 7.500 - 8.499</t>
  </si>
  <si>
    <t>Milchkühe (&gt; 10.000 kg Milch)</t>
  </si>
  <si>
    <t>von 8.500 - 9.499</t>
  </si>
  <si>
    <t>Mutter- und Ammenkühe ohne Nachzucht</t>
  </si>
  <si>
    <t>ab   9.500</t>
  </si>
  <si>
    <t>Mutter- und Ammenkühe</t>
  </si>
  <si>
    <t>Ferkel</t>
  </si>
  <si>
    <t>Ferkelanzahl =</t>
  </si>
  <si>
    <t>Ferkel 8 bis 32 kg Lebendgewicht (LG) Standard-Fütterung</t>
  </si>
  <si>
    <t>für unter 18 verkaufte Ferkel gilt Zuchtsauen x 2,6</t>
  </si>
  <si>
    <t>Ferkel 8 bis 32 kg Lebendgewicht (LG) N-reduzierte-Fütterung</t>
  </si>
  <si>
    <t>für 18 bis 20 verkaufte Ferkel gilt Zuchtsauen x 2,9</t>
  </si>
  <si>
    <t>Mastschweine und Jungsauen auf der Basis von 2,5 Zyklen pro Jahr</t>
  </si>
  <si>
    <t xml:space="preserve">für über 20 verkaufte Ferkel gilt Zuchtsauen x 3,2 </t>
  </si>
  <si>
    <t>Mastschweine und Jungsauen</t>
  </si>
  <si>
    <t>ab 32 kg LG bis Mastende/Belegung</t>
  </si>
  <si>
    <t>Tierliste x 1,26</t>
  </si>
  <si>
    <t>ab 32 kg LG bis Mastende/Belegung -N-reduzierte-Fütterung</t>
  </si>
  <si>
    <t>ab 32 kg LG bis Mastende/Belegung - stark-N-reduzierte-Fütterung</t>
  </si>
  <si>
    <t>Zuchtschweine (ab Belegung) inkl. Ferkel bis 8 kg</t>
  </si>
  <si>
    <t>Zuchtschweine - Standard-Fütterung</t>
  </si>
  <si>
    <t>Zuchtschweine - N-reduzierte Fütterung</t>
  </si>
  <si>
    <t>Eber</t>
  </si>
  <si>
    <t>Zuchteber - Standard-Fütterung</t>
  </si>
  <si>
    <t>Zuchteber - N-reduzierte Fütterung</t>
  </si>
  <si>
    <r>
      <t xml:space="preserve">Gülle </t>
    </r>
    <r>
      <rPr>
        <sz val="7"/>
        <rFont val="Arial"/>
        <family val="2"/>
      </rPr>
      <t xml:space="preserve">(pumpfähig) </t>
    </r>
  </si>
  <si>
    <t>Kücken u. Junghennen für Legezw. bis 1/2 Jahr</t>
  </si>
  <si>
    <t>130 Haltetage pro Umtrieb &gt;&gt; 2,0 Umtriebe</t>
  </si>
  <si>
    <t>Legehennen, Hähne</t>
  </si>
  <si>
    <t>Mastkücken und Jungmasthühner auf der Basis von 7 Umtrieben pro Jahr</t>
  </si>
  <si>
    <t>40 Haltetage pro Umtrieb &gt;&gt; 7,0 Umtriebe</t>
  </si>
  <si>
    <t>Mastkücken und Jungmasthühner</t>
  </si>
  <si>
    <t>Truthühner (Puten)</t>
  </si>
  <si>
    <t>150 Haltetage pro Umtrieb &gt;&gt; 2,0 Umtriebe</t>
  </si>
  <si>
    <r>
      <t>Kleinpferde (</t>
    </r>
    <r>
      <rPr>
        <sz val="7"/>
        <rFont val="Arial"/>
        <family val="2"/>
      </rPr>
      <t xml:space="preserve">Widerristhöhe bis 1,48 m) </t>
    </r>
    <r>
      <rPr>
        <b/>
        <sz val="7"/>
        <rFont val="Arial"/>
        <family val="2"/>
      </rPr>
      <t xml:space="preserve"> Endgewicht &lt; 300 kg</t>
    </r>
  </si>
  <si>
    <r>
      <t>Kleinpferde</t>
    </r>
    <r>
      <rPr>
        <b/>
        <vertAlign val="superscript"/>
        <sz val="10"/>
        <rFont val="Arial"/>
        <family val="2"/>
      </rPr>
      <t>5)</t>
    </r>
    <r>
      <rPr>
        <b/>
        <sz val="10"/>
        <rFont val="Arial"/>
        <family val="2"/>
      </rPr>
      <t xml:space="preserve"> incl. Ponys, Esel, Maultiere,   - Endgewicht &lt; 300 kg</t>
    </r>
  </si>
  <si>
    <t>1/2 bis 3 Jahre</t>
  </si>
  <si>
    <t>&gt; 3 Jahre incl. Fohlen bis 1/2 Jahr</t>
  </si>
  <si>
    <r>
      <t>Kleinpferde (</t>
    </r>
    <r>
      <rPr>
        <sz val="7"/>
        <rFont val="Arial"/>
        <family val="2"/>
      </rPr>
      <t>Widerristhöhe bis 1,48 m)</t>
    </r>
    <r>
      <rPr>
        <b/>
        <sz val="7"/>
        <rFont val="Arial"/>
        <family val="2"/>
      </rPr>
      <t xml:space="preserve"> über 300 kg - Endgewicht &gt; 300 kg</t>
    </r>
  </si>
  <si>
    <r>
      <t>Kleinpferde</t>
    </r>
    <r>
      <rPr>
        <b/>
        <vertAlign val="superscript"/>
        <sz val="10"/>
        <rFont val="Arial"/>
        <family val="2"/>
      </rPr>
      <t>5)</t>
    </r>
    <r>
      <rPr>
        <b/>
        <sz val="10"/>
        <rFont val="Arial"/>
        <family val="2"/>
      </rPr>
      <t xml:space="preserve"> über 300 kg - Haflinger, Reitponys, ... - Endgewicht &gt; 300 kg</t>
    </r>
  </si>
  <si>
    <r>
      <t>Pferde (</t>
    </r>
    <r>
      <rPr>
        <sz val="7"/>
        <rFont val="Arial"/>
        <family val="2"/>
      </rPr>
      <t>Widerristhöhe &gt; 1,48 m)</t>
    </r>
    <r>
      <rPr>
        <b/>
        <sz val="7"/>
        <rFont val="Arial"/>
        <family val="2"/>
      </rPr>
      <t xml:space="preserve"> - Endgewicht &gt; 500 kg</t>
    </r>
  </si>
  <si>
    <r>
      <t>Pferde</t>
    </r>
    <r>
      <rPr>
        <b/>
        <vertAlign val="superscript"/>
        <sz val="10"/>
        <rFont val="Arial"/>
        <family val="2"/>
      </rPr>
      <t>6)</t>
    </r>
    <r>
      <rPr>
        <b/>
        <sz val="10"/>
        <rFont val="Arial"/>
        <family val="2"/>
      </rPr>
      <t xml:space="preserve"> - Endgewicht &gt; 500 kg</t>
    </r>
  </si>
  <si>
    <t>Schafe</t>
  </si>
  <si>
    <t>Anzahl = Mutterschafe x Faktor (aufgezogene Lämmer x Haltedauer dividiert durch 12 Monate)</t>
  </si>
  <si>
    <t>Lämmer bis 1/2 Jahr</t>
  </si>
  <si>
    <t>ab 1/2 Jahr bis 1,5 Jahre</t>
  </si>
  <si>
    <t>15 - 25 % Nachzucht im Normalfall</t>
  </si>
  <si>
    <t>Ziegen</t>
  </si>
  <si>
    <t>ab 1/2 Jahr</t>
  </si>
  <si>
    <t>wie bei den Schafen</t>
  </si>
  <si>
    <t>Damwild, Lamas, Alpacas, ...</t>
  </si>
  <si>
    <t>Alttier inkl. Nachzucht bis 14 Monate:</t>
  </si>
  <si>
    <t>Hirsch:</t>
  </si>
  <si>
    <t>Rotwild:</t>
  </si>
  <si>
    <t xml:space="preserve">Hirsch: </t>
  </si>
  <si>
    <t>Kaninchen</t>
  </si>
  <si>
    <t>Kaninchenmast </t>
  </si>
  <si>
    <t>6,89 Umtriebe zu je 53 Aufmasttagen</t>
  </si>
  <si>
    <t>Häsin (inkl.Hasen bis Absetzen)</t>
  </si>
  <si>
    <t>Strauße</t>
  </si>
  <si>
    <t>Straußenküken bis 1/2 Jahr</t>
  </si>
  <si>
    <t>Jungstrauße 0,5 - 1,5 Jahre</t>
  </si>
  <si>
    <t>Zuchtstraußenhenne &gt; 1,5 Jahre</t>
  </si>
  <si>
    <t>Zuchtstraußenhahn &gt; 1,5 Jahre</t>
  </si>
  <si>
    <t>Zwergzebu und andere Zwergrinder</t>
  </si>
  <si>
    <t xml:space="preserve">Zwergrind - andere Kälber und Jungrinder unter 1/2 Jahr </t>
  </si>
  <si>
    <t xml:space="preserve">Zwergrind - Jungvieh 1/2 bis 1 Jahr </t>
  </si>
  <si>
    <t xml:space="preserve">Zwergrind - Jungvieh 1 bis 2 Jahr </t>
  </si>
  <si>
    <t>Zwergrind - Ochsen, Stiere</t>
  </si>
  <si>
    <t xml:space="preserve">Zwergrind - Kalbinnen </t>
  </si>
  <si>
    <t xml:space="preserve">Zwergrind - Milch- bzw. Mutterkühe (3000 kg Milch)  </t>
  </si>
  <si>
    <t xml:space="preserve">Zwergrind - Mutter- und Ammenkühe </t>
  </si>
  <si>
    <t xml:space="preserve">Zwergrind - Milch- bzw. Ammenkühe (4000 kg Milch) </t>
  </si>
  <si>
    <t xml:space="preserve">Zwergrind - Milchkühe (5000 kg Milch) </t>
  </si>
  <si>
    <t xml:space="preserve">Zwergrind - Milchkühe (6000 kg Milch) </t>
  </si>
  <si>
    <t>Zwergrind - Milchkühe (7000 kg Milch)</t>
  </si>
  <si>
    <t>Zwergrind - Milchkühe (8000 kg Milch)</t>
  </si>
  <si>
    <t>Zwergrind - Milchkühe (9000 kg Milch)</t>
  </si>
  <si>
    <t>* “uvb“ = unverdünnt berechnet: das heißt, dass  die Jauche bzw. die Gülle nicht oder nur geringfügig durch in die Grube eingeleitete Spül- und Reinigungswässer verdünnt ist</t>
  </si>
  <si>
    <t>1) Stallmist: Stallmist ist ein Gemisch aus Kot, Einstreu und geringen Mengen an Harn aus  der Anbinde-  und Boxenhaltung.</t>
  </si>
  <si>
    <r>
      <t>Anfallsmengen an P</t>
    </r>
    <r>
      <rPr>
        <b/>
        <vertAlign val="subscript"/>
        <sz val="11"/>
        <rFont val="Trebuchet MS"/>
        <family val="2"/>
      </rPr>
      <t>2</t>
    </r>
    <r>
      <rPr>
        <b/>
        <sz val="11"/>
        <rFont val="Trebuchet MS"/>
        <family val="2"/>
      </rPr>
      <t>O</t>
    </r>
    <r>
      <rPr>
        <b/>
        <vertAlign val="subscript"/>
        <sz val="11"/>
        <rFont val="Trebuchet MS"/>
        <family val="2"/>
      </rPr>
      <t>5</t>
    </r>
    <r>
      <rPr>
        <b/>
        <sz val="11"/>
        <rFont val="Trebuchet MS"/>
        <family val="2"/>
      </rPr>
      <t xml:space="preserve"> und K</t>
    </r>
    <r>
      <rPr>
        <b/>
        <vertAlign val="subscript"/>
        <sz val="11"/>
        <rFont val="Trebuchet MS"/>
        <family val="2"/>
      </rPr>
      <t>2</t>
    </r>
    <r>
      <rPr>
        <b/>
        <sz val="11"/>
        <rFont val="Trebuchet MS"/>
        <family val="2"/>
      </rPr>
      <t>O aus der Tierhaltung (in kg je Stallplatz und Jahr)</t>
    </r>
  </si>
  <si>
    <t>2) Jauche: Jauche ist der mit Kot und Einstreuteilchen (mitunter auch mit Spülwasser) versetzte Harn der   Tiere.</t>
  </si>
  <si>
    <t>3) Gülle: Gülle ist ein Gemisch aus Kot, Harn, Wasser, Einstreu- und Futterresten.</t>
  </si>
  <si>
    <t>4) Tiefstallmist: Tiefstallmist ist das in Freilaufhaltung anfallende Gemisch aus tierischen Ausscheidungen und hohen Einstreumengen. Das Gemisch wird von den Tieren selbst festgetreten und feucht gehalten, wodurch über die Verdunstung ein erheblicher Teil des Wassergehaltes verloren geht.</t>
  </si>
  <si>
    <t>5) Kleinpferde mit Widerristhöhe bis 1,48 m</t>
  </si>
  <si>
    <t>6) Pferde mit einer Widerristhöhe &gt; 1,48 m</t>
  </si>
  <si>
    <t xml:space="preserve">Mutterkühe </t>
  </si>
  <si>
    <t>Ammenkühe</t>
  </si>
  <si>
    <t>Ferkel 8 bis 32 kg Lebendgewicht (LG), P-Standardfütterung</t>
  </si>
  <si>
    <t>Ferkel 8 bis 32 kg Lebendgewicht (LG), P-reduzierte Fütterung</t>
  </si>
  <si>
    <r>
      <t>Mastschweine und Jungsauen auf der Basis von 2,5 Zyklen pro Jahr</t>
    </r>
    <r>
      <rPr>
        <sz val="11"/>
        <rFont val="Trebuchet MS"/>
        <family val="2"/>
      </rPr>
      <t> </t>
    </r>
  </si>
  <si>
    <t>ab 32 kg LG bis Mastende/Belegung, P-Standardfütterung</t>
  </si>
  <si>
    <t>ab 32 kg LG bis Mastende/Belegung, P-reduzierte Fütterung</t>
  </si>
  <si>
    <t>Zuchtschweine - P-Standardfütterung</t>
  </si>
  <si>
    <t>Zuchtschweine - P-reduzierte Fütterung</t>
  </si>
  <si>
    <t>Zuchteber - P-Standardfütterung</t>
  </si>
  <si>
    <t>Zuchteber - P-reduzierte Fütterung</t>
  </si>
  <si>
    <t xml:space="preserve">Küken u. Junghennen für Legezwecke </t>
  </si>
  <si>
    <t>Mastküken und Jungmasthühner</t>
  </si>
  <si>
    <t xml:space="preserve">Kleinpferde incl. Ponys, Esel, Maultiere, ... </t>
  </si>
  <si>
    <t>Widerristhöhe bis 1,48 m, Endgewicht &lt; 300 kg</t>
  </si>
  <si>
    <t xml:space="preserve">Kleinpferde über 300 kg - Haflinger, Reitponys, ... </t>
  </si>
  <si>
    <t>Widerristhöhe bis 1,48 m, Endgewicht &gt; 300 kg</t>
  </si>
  <si>
    <t>Widerristhöhe &gt; 1,48 m, Endgewicht &gt; 500 kg</t>
  </si>
  <si>
    <t>Grundanforderungen für die Düngung mit Phosphor gültig im ÖPUL 2015</t>
  </si>
  <si>
    <t xml:space="preserve">Erläuterung für die Vorgangsweise bezüglich der Mindeststandard-Kontrolle bei der Phosphorbegrenzung. </t>
  </si>
  <si>
    <t xml:space="preserve">für  GW </t>
  </si>
  <si>
    <r>
      <t xml:space="preserve">abzüglich Stickstoffnachlieferung aus Vorfrüchten </t>
    </r>
    <r>
      <rPr>
        <sz val="12"/>
        <color indexed="10"/>
        <rFont val="Arial"/>
        <family val="2"/>
      </rPr>
      <t>(siehe nebenan)</t>
    </r>
  </si>
  <si>
    <r>
      <t>Phosphor-Bedarfswerte</t>
    </r>
    <r>
      <rPr>
        <sz val="9"/>
        <rFont val="Arial"/>
        <family val="2"/>
      </rPr>
      <t xml:space="preserve"> 
bei C-Versorgung</t>
    </r>
  </si>
  <si>
    <t>vorge-geben</t>
  </si>
  <si>
    <t>Durchschnittstierbestand für Schweine und Geflügel</t>
  </si>
  <si>
    <t>seit (Datum):</t>
  </si>
  <si>
    <r>
      <t xml:space="preserve">Das Anfangsdatum für den Berechnungszeitraum ist in der Zelle </t>
    </r>
    <r>
      <rPr>
        <b/>
        <sz val="12"/>
        <rFont val="Arial"/>
        <family val="2"/>
      </rPr>
      <t>'D2'</t>
    </r>
    <r>
      <rPr>
        <sz val="12"/>
        <rFont val="Arial"/>
        <family val="2"/>
      </rPr>
      <t xml:space="preserve"> einzutragen. </t>
    </r>
  </si>
  <si>
    <t>Biogas-
gülle</t>
  </si>
  <si>
    <t>Feldstücks-
nummern /
Feldstücksname</t>
  </si>
  <si>
    <t>Gülle / 
Jauche</t>
  </si>
  <si>
    <r>
      <t xml:space="preserve">Gesamte am Betrieb ausgebrachte Menge an flüssigen Wirtschaftsdüngern </t>
    </r>
    <r>
      <rPr>
        <sz val="10"/>
        <rFont val="Arial"/>
        <family val="2"/>
      </rPr>
      <t>(inkl. Biogasgülle)</t>
    </r>
    <r>
      <rPr>
        <b/>
        <sz val="10"/>
        <rFont val="Arial"/>
        <family val="2"/>
      </rPr>
      <t xml:space="preserve"> in m³: </t>
    </r>
  </si>
  <si>
    <t>im Durchschnitt zB. 4 Kälber 12 Wochen, 
oder 8 Kälber nur 6 Wochen am Betrieb</t>
  </si>
  <si>
    <t>20 % Kälber, 40 % Jungvieh 1/2 bis 1 Jahr, 
40 % 1 bis 2 Jahre</t>
  </si>
  <si>
    <t>Jahresbestand inkl. durchschnittl. 
Leerstehzeit von 14 Tagen</t>
  </si>
  <si>
    <r>
      <t>Wert</t>
    </r>
    <r>
      <rPr>
        <b/>
        <sz val="10"/>
        <color theme="0" tint="-0.499984740745262"/>
        <rFont val="Arial"/>
        <family val="2"/>
      </rPr>
      <t xml:space="preserve"> </t>
    </r>
    <r>
      <rPr>
        <sz val="10"/>
        <color theme="0" tint="-0.499984740745262"/>
        <rFont val="Arial"/>
        <family val="2"/>
      </rPr>
      <t>der</t>
    </r>
    <r>
      <rPr>
        <b/>
        <sz val="10"/>
        <color theme="0" tint="-0.499984740745262"/>
        <rFont val="Arial"/>
        <family val="2"/>
      </rPr>
      <t xml:space="preserve"> </t>
    </r>
    <r>
      <rPr>
        <b/>
        <sz val="11"/>
        <color theme="0" tint="-0.499984740745262"/>
        <rFont val="Arial"/>
        <family val="2"/>
      </rPr>
      <t xml:space="preserve">Nährstoffe N, P und K </t>
    </r>
    <r>
      <rPr>
        <sz val="10"/>
        <color theme="0" tint="-0.499984740745262"/>
        <rFont val="Arial"/>
        <family val="2"/>
      </rPr>
      <t>ohne Bewertung zusätz-licher Nährstoffe</t>
    </r>
  </si>
  <si>
    <r>
      <t>P</t>
    </r>
    <r>
      <rPr>
        <b/>
        <vertAlign val="subscript"/>
        <sz val="10"/>
        <color theme="0" tint="-0.499984740745262"/>
        <rFont val="Arial"/>
        <family val="2"/>
      </rPr>
      <t>2</t>
    </r>
    <r>
      <rPr>
        <b/>
        <sz val="10"/>
        <color theme="0" tint="-0.499984740745262"/>
        <rFont val="Arial"/>
        <family val="2"/>
      </rPr>
      <t>O</t>
    </r>
    <r>
      <rPr>
        <b/>
        <vertAlign val="subscript"/>
        <sz val="10"/>
        <color theme="0" tint="-0.499984740745262"/>
        <rFont val="Arial"/>
        <family val="2"/>
      </rPr>
      <t>5</t>
    </r>
  </si>
  <si>
    <r>
      <t>K</t>
    </r>
    <r>
      <rPr>
        <b/>
        <vertAlign val="subscript"/>
        <sz val="10"/>
        <color theme="0" tint="-0.499984740745262"/>
        <rFont val="Arial"/>
        <family val="2"/>
      </rPr>
      <t>2</t>
    </r>
    <r>
      <rPr>
        <b/>
        <sz val="10"/>
        <color theme="0" tint="-0.499984740745262"/>
        <rFont val="Arial"/>
        <family val="2"/>
      </rPr>
      <t>O</t>
    </r>
  </si>
  <si>
    <r>
      <rPr>
        <b/>
        <sz val="12"/>
        <color rgb="FFFF6600"/>
        <rFont val="Arial"/>
        <family val="2"/>
      </rPr>
      <t>Achtung!</t>
    </r>
    <r>
      <rPr>
        <b/>
        <sz val="12"/>
        <color rgb="FF3366FF"/>
        <rFont val="Arial"/>
        <family val="2"/>
      </rPr>
      <t xml:space="preserve">
Die Ermittlung der Reinnährstoffpreise von N, P und K erfolgt über ihre Preisangaben oben (in den Zellen S5-S9) NAC, Harnstoff, DAP, Hyperkorn und Kali 60%. Sie können NAC oder Harnstoff, oder einen Mischpreis aus beiden erzeugen, genauso bei Phosphor, je nachdem welche Dünger für sie Priorität haben.</t>
    </r>
  </si>
  <si>
    <r>
      <t xml:space="preserve">LK-Düngerrechner 
</t>
    </r>
    <r>
      <rPr>
        <b/>
        <sz val="14"/>
        <rFont val="Arial"/>
        <family val="2"/>
      </rPr>
      <t xml:space="preserve">für ÖPUL und die gesetzliche Aufzeichnungspflicht </t>
    </r>
  </si>
  <si>
    <t>Achtung Biobetriebe! Für die angegebenen Tiere wird nach EU Bio-Verordnung ungefähr folgende Fläche (ha) benötigt:</t>
  </si>
  <si>
    <t xml:space="preserve">Alle Ackerflächen auf denen ein Umbruch oder Anbau vorgenommen wird, müssen aufgezeichnet werden! </t>
  </si>
  <si>
    <r>
      <t xml:space="preserve">Phosphor </t>
    </r>
    <r>
      <rPr>
        <sz val="10"/>
        <rFont val="Arial"/>
        <family val="2"/>
      </rPr>
      <t>je ha</t>
    </r>
  </si>
  <si>
    <r>
      <t xml:space="preserve">Wirtschaftsdünger           
</t>
    </r>
    <r>
      <rPr>
        <b/>
        <sz val="12"/>
        <rFont val="Arial"/>
        <family val="2"/>
      </rPr>
      <t xml:space="preserve">Verkauf </t>
    </r>
    <r>
      <rPr>
        <b/>
        <sz val="12"/>
        <color indexed="10"/>
        <rFont val="Arial"/>
        <family val="2"/>
      </rPr>
      <t>*</t>
    </r>
  </si>
  <si>
    <t>Formatierungen korrigiert (N-Bedarf, Syst. I.)</t>
  </si>
  <si>
    <t>Dünger am Betrieb</t>
  </si>
  <si>
    <t>Ertrags-lage</t>
  </si>
  <si>
    <t>max. 
N kg</t>
  </si>
  <si>
    <t>Saldo</t>
  </si>
  <si>
    <t>N jw geplant</t>
  </si>
  <si>
    <t>Sonstige organische Dünger</t>
  </si>
  <si>
    <t>N ab
Lager</t>
  </si>
  <si>
    <r>
      <t xml:space="preserve">N -
</t>
    </r>
    <r>
      <rPr>
        <sz val="8"/>
        <color indexed="8"/>
        <rFont val="Arial"/>
        <family val="2"/>
      </rPr>
      <t>feldfall.</t>
    </r>
  </si>
  <si>
    <t>schnell 
wirk.</t>
  </si>
  <si>
    <t>Menge
kg / m³</t>
  </si>
  <si>
    <t>Verplante Menge x ha</t>
  </si>
  <si>
    <t>verpl. Menge</t>
  </si>
  <si>
    <t xml:space="preserve">   Menge x N jw</t>
  </si>
  <si>
    <t>Mengensumme</t>
  </si>
  <si>
    <t>Geplante / vorhandene Mineraldünger</t>
  </si>
  <si>
    <t>Anmerkungen</t>
  </si>
  <si>
    <t xml:space="preserve">   Menge x  P x ha</t>
  </si>
  <si>
    <t>Summe P gesamt</t>
  </si>
  <si>
    <t>PLZ</t>
  </si>
  <si>
    <t xml:space="preserve">Name </t>
  </si>
  <si>
    <r>
      <rPr>
        <sz val="9"/>
        <color indexed="8"/>
        <rFont val="Arial"/>
        <family val="2"/>
      </rPr>
      <t>geplante</t>
    </r>
    <r>
      <rPr>
        <b/>
        <sz val="9"/>
        <color indexed="8"/>
        <rFont val="Arial"/>
        <family val="2"/>
      </rPr>
      <t xml:space="preserve">
Phosphor
Menge kg</t>
    </r>
  </si>
  <si>
    <t>geplante Mengen</t>
  </si>
  <si>
    <t xml:space="preserve">Saldo N-Bedarf: </t>
  </si>
  <si>
    <r>
      <rPr>
        <sz val="8"/>
        <rFont val="Arial"/>
        <family val="2"/>
      </rPr>
      <t>geplante</t>
    </r>
    <r>
      <rPr>
        <sz val="9"/>
        <rFont val="Arial"/>
        <family val="2"/>
      </rPr>
      <t xml:space="preserve">
Menge</t>
    </r>
  </si>
  <si>
    <t>Summe 
Zukauf
O164 - P177</t>
  </si>
  <si>
    <t>geplante Dünger</t>
  </si>
  <si>
    <t>org. Dünger</t>
  </si>
  <si>
    <t>Neu! Düngeplanung</t>
  </si>
  <si>
    <r>
      <rPr>
        <b/>
        <sz val="11"/>
        <rFont val="Arial"/>
        <family val="2"/>
      </rPr>
      <t>Ackerkulturen</t>
    </r>
    <r>
      <rPr>
        <b/>
        <sz val="9"/>
        <rFont val="Arial"/>
        <family val="2"/>
      </rPr>
      <t xml:space="preserve"> </t>
    </r>
    <r>
      <rPr>
        <sz val="9"/>
        <rFont val="Arial"/>
        <family val="2"/>
      </rPr>
      <t xml:space="preserve">
laut Tab. N-Bedarf</t>
    </r>
  </si>
  <si>
    <t>Sonstige 1</t>
  </si>
  <si>
    <t>Sonstige 2</t>
  </si>
  <si>
    <t>Sonstige 3</t>
  </si>
  <si>
    <t xml:space="preserve">Mist  </t>
  </si>
  <si>
    <r>
      <rPr>
        <sz val="10"/>
        <color indexed="8"/>
        <rFont val="Arial"/>
        <family val="2"/>
      </rPr>
      <t>verplante</t>
    </r>
    <r>
      <rPr>
        <b/>
        <sz val="11"/>
        <color indexed="8"/>
        <rFont val="Arial"/>
        <family val="2"/>
      </rPr>
      <t>Menge</t>
    </r>
  </si>
  <si>
    <t>Füllen Sie zuerst die Tabellenblätter "N-Bedarf", bei Tierhaltung auch "Tiere" und "Hofdung" aus, dann kann geplant werden!</t>
  </si>
  <si>
    <t>Der Kali-Saldo ist nur 
ein Richtwert der je nach 
Bodenart zwischen 
50% und 160% schwankt!</t>
  </si>
  <si>
    <t>Stickstoff-Bedarf der Kulturen:</t>
  </si>
  <si>
    <t>Summe N verplant</t>
  </si>
  <si>
    <t>Phosphor Bedarf der Kulturen:</t>
  </si>
  <si>
    <r>
      <t>Geplante Düngegaben in kg oder m</t>
    </r>
    <r>
      <rPr>
        <b/>
        <vertAlign val="superscript"/>
        <sz val="11"/>
        <rFont val="Arial"/>
        <family val="2"/>
      </rPr>
      <t>3</t>
    </r>
    <r>
      <rPr>
        <b/>
        <sz val="11"/>
        <rFont val="Arial"/>
        <family val="2"/>
      </rPr>
      <t xml:space="preserve"> je ha - </t>
    </r>
    <r>
      <rPr>
        <sz val="10"/>
        <rFont val="Arial"/>
        <family val="2"/>
      </rPr>
      <t>Achtung der Saldo darf nicht größer als Null sein!</t>
    </r>
  </si>
  <si>
    <r>
      <t xml:space="preserve">Differenz
zum 
</t>
    </r>
    <r>
      <rPr>
        <b/>
        <sz val="9"/>
        <color indexed="8"/>
        <rFont val="Arial"/>
        <family val="2"/>
      </rPr>
      <t>Bestand</t>
    </r>
  </si>
  <si>
    <t>Hilfsblatt für die Düngeplanung</t>
  </si>
  <si>
    <r>
      <t xml:space="preserve">Geplante / vorhandene </t>
    </r>
    <r>
      <rPr>
        <b/>
        <sz val="12"/>
        <rFont val="Arial"/>
        <family val="2"/>
      </rPr>
      <t>Dünger</t>
    </r>
  </si>
  <si>
    <t>kleine Fehlerkorrekturen zB N-Bedarf GL etc…</t>
  </si>
  <si>
    <t>fehlende P-Werte Feldfutter</t>
  </si>
  <si>
    <t>Diese Blatt ist als Hilfe bei der Düngeplanung gedacht! Sie 
können nach der Anbauplanung (am N-Bedarf) hier die 
Wirtschaftsdünger - zuerst am Blatt "Hofdung" die Menge 
abschätzen - auf die düngebedürftigen Kulturen aufteilen 
und dann überlegen welche Mineral- oder organischen 
Dünger noch gebraucht werden.</t>
  </si>
  <si>
    <r>
      <rPr>
        <b/>
        <sz val="10"/>
        <rFont val="Arial"/>
        <family val="2"/>
      </rPr>
      <t xml:space="preserve">Stickstoff-Einsatz </t>
    </r>
    <r>
      <rPr>
        <b/>
        <sz val="9"/>
        <rFont val="Arial"/>
        <family val="2"/>
      </rPr>
      <t xml:space="preserve">
lt. Planung</t>
    </r>
    <r>
      <rPr>
        <sz val="9"/>
        <rFont val="Arial"/>
        <family val="2"/>
      </rPr>
      <t xml:space="preserve"> (incl VF) </t>
    </r>
  </si>
  <si>
    <t xml:space="preserve">Phosphor-Einsatz 
laut Planung * </t>
  </si>
  <si>
    <t>Listenfelder  verbessert</t>
  </si>
  <si>
    <t>neu - Junghennenaufzucht mit Faktor 1,7</t>
  </si>
  <si>
    <t>68_2</t>
  </si>
  <si>
    <t>Junghennenaufzucht</t>
  </si>
  <si>
    <t xml:space="preserve">42 Haltetage pro Umtrieb – 5,0 Umtriebe </t>
  </si>
  <si>
    <t>42 Haltetage pro Umtrieb – 5,0 Umtriebe – (= 210 Belegtage je Platz und Jahr) &gt;&gt; Faktor 1,7 nährstoffbest.</t>
  </si>
  <si>
    <t>Mastkücken u. Jungmasthühner - 40 Haltetage pro Umtrieb &gt;&gt; 7,0 Umtriebe &gt;&gt; Faktor 1,3 nährstoffbest.</t>
  </si>
  <si>
    <t>N-Düngemittel</t>
  </si>
  <si>
    <t>N-Handelsdünger, Gülle, Biogasgülle, Gärrückstände, Jauche</t>
  </si>
  <si>
    <t>30. November bis 28. Februar</t>
  </si>
  <si>
    <t>Wechselwiese</t>
  </si>
  <si>
    <t>N-Handelsdünger, Gülle, Biogasgülle, Gärrückstände, Jauche, udgl.</t>
  </si>
  <si>
    <t>15. Oktober oder 15. November bis 31. Jänner*</t>
  </si>
  <si>
    <t>20. September 
bis 15. Februar</t>
  </si>
  <si>
    <t>15. November bis 31. Jänner</t>
  </si>
  <si>
    <t>15. Oktober 
bis 15. Februar</t>
  </si>
  <si>
    <t>15. Oktober oder 15. November bis 15. Februar*</t>
  </si>
  <si>
    <t>20. September 
    bis 21. März</t>
  </si>
  <si>
    <t>alle anderen Ackerflächen</t>
  </si>
  <si>
    <t>20. September 
      bis 1. März</t>
  </si>
  <si>
    <t>* Wird eine Folgefrucht nach der Ernte der vorhergehenden Hauptkultur bis incl. 15. Oktober angebaut gilt der 15. November, 
   wird eine Folgefrucht nach dem 15. Oktober angebaut gilt der 15. Oktober als Sperrfristbeginn.</t>
  </si>
  <si>
    <t>Mist, Kompost</t>
  </si>
  <si>
    <t>30. November bis 15. Februar</t>
  </si>
  <si>
    <t>frühanzubauende Kulturen (…)</t>
  </si>
  <si>
    <t>30. November bis 31. Jänner</t>
  </si>
  <si>
    <t>Raps, Wintergerste, Kümmel (früher N-Bedarf)</t>
  </si>
  <si>
    <t>nicht entwässerter Klärschlamm</t>
  </si>
  <si>
    <t>entwässerter Klärschlamm, Klärschlammkompost</t>
  </si>
  <si>
    <t>20. September bis 15. Februar</t>
  </si>
  <si>
    <t>20. September bis 21. März</t>
  </si>
  <si>
    <t>schnellwirksame Stickstoff-Gaben</t>
  </si>
  <si>
    <t>Hanglage zum Gewässer
(ab 10 % Hangneigung)</t>
  </si>
  <si>
    <r>
      <rPr>
        <b/>
        <sz val="11"/>
        <color rgb="FF000000"/>
        <rFont val="Arial"/>
        <family val="2"/>
      </rPr>
      <t>frühanzubauende Kulturen</t>
    </r>
    <r>
      <rPr>
        <sz val="11"/>
        <color rgb="FF000000"/>
        <rFont val="Arial"/>
        <family val="2"/>
      </rPr>
      <t xml:space="preserve"> 
(wie SW, Durum, SG und Feldgemüse unter Vlies oder Folie)</t>
    </r>
  </si>
  <si>
    <r>
      <t>P</t>
    </r>
    <r>
      <rPr>
        <b/>
        <vertAlign val="subscript"/>
        <sz val="9"/>
        <rFont val="Arial"/>
        <family val="2"/>
      </rPr>
      <t>2</t>
    </r>
    <r>
      <rPr>
        <b/>
        <sz val="9"/>
        <rFont val="Arial"/>
        <family val="2"/>
      </rPr>
      <t>O</t>
    </r>
    <r>
      <rPr>
        <b/>
        <vertAlign val="subscript"/>
        <sz val="9"/>
        <rFont val="Arial"/>
        <family val="2"/>
      </rPr>
      <t>5</t>
    </r>
  </si>
  <si>
    <r>
      <t xml:space="preserve">N </t>
    </r>
    <r>
      <rPr>
        <sz val="9"/>
        <rFont val="Arial"/>
        <family val="2"/>
      </rPr>
      <t>Lager</t>
    </r>
  </si>
  <si>
    <t>Düngetabellen für CC u. ÖPUL</t>
  </si>
  <si>
    <t>18 - 20,5</t>
  </si>
  <si>
    <t>20,5 - 22</t>
  </si>
  <si>
    <t>0</t>
  </si>
  <si>
    <r>
      <t>N-Werte</t>
    </r>
    <r>
      <rPr>
        <sz val="10"/>
        <rFont val="Arial"/>
        <family val="2"/>
      </rPr>
      <t xml:space="preserve"> für
vorbeugenden
</t>
    </r>
    <r>
      <rPr>
        <b/>
        <sz val="10"/>
        <rFont val="Arial"/>
        <family val="2"/>
      </rPr>
      <t>Grundwasser
schutz</t>
    </r>
  </si>
  <si>
    <t xml:space="preserve"> 8 - 12</t>
  </si>
  <si>
    <t>&gt; 9,5</t>
  </si>
  <si>
    <t>6,5 - 9,5</t>
  </si>
  <si>
    <t>&lt; 2</t>
  </si>
  <si>
    <t>Winter-, Sommerwicken</t>
  </si>
  <si>
    <t>2 - 3</t>
  </si>
  <si>
    <t xml:space="preserve">
Stickstoff-Gaben feldfallend 
ab 100 kg N/ha  müssen geteilt 
werden
 - ausgenommen sind Stallmist 
und Kompost</t>
  </si>
  <si>
    <r>
      <t>·</t>
    </r>
    <r>
      <rPr>
        <sz val="7"/>
        <rFont val="Times New Roman"/>
        <family val="1"/>
      </rPr>
      <t> </t>
    </r>
    <r>
      <rPr>
        <b/>
        <sz val="11"/>
        <rFont val="Arial"/>
        <family val="2"/>
      </rPr>
      <t>Schnell wirksame Stickstoff-Gaben</t>
    </r>
    <r>
      <rPr>
        <sz val="11"/>
        <rFont val="Arial"/>
        <family val="2"/>
      </rPr>
      <t xml:space="preserve"> von mehr als 100 kg/ha sind zu teilen. 
· Ausgenommen von der Gabenteilungsverpflichtung sind Hackfrüchte und 
  Gemüse auf schweren Böden mit einem Tonanteil &gt; 15 %
</t>
    </r>
    <r>
      <rPr>
        <sz val="10"/>
        <rFont val="Arial"/>
        <family val="2"/>
      </rPr>
      <t>· </t>
    </r>
    <r>
      <rPr>
        <sz val="9"/>
        <rFont val="Arial"/>
        <family val="2"/>
      </rPr>
      <t xml:space="preserve">Bei Wirtschaftsdüngern wird der Ammoniumanteil vom feld­fallenden Stickstoff als 
   Berechnungsbasis herangezogen. </t>
    </r>
    <r>
      <rPr>
        <b/>
        <sz val="9"/>
        <rFont val="Arial"/>
        <family val="2"/>
      </rPr>
      <t xml:space="preserve">Stickstoff-Mineraldünger </t>
    </r>
    <r>
      <rPr>
        <sz val="9"/>
        <rFont val="Arial"/>
        <family val="2"/>
      </rPr>
      <t xml:space="preserve">sind zu 100 % als schnell 
   wirksam eingestuft. 
· Bei stabilisierten Stickstoffdüngern ist deren Ammonium­anteil von der Gabenteilungs-
   verpflichtung nicht betroffen. In der Praxis werden zwei Arten von stabilisierten Stickstoff­
   düngern angeboten: 
   - </t>
    </r>
    <r>
      <rPr>
        <b/>
        <sz val="9"/>
        <rFont val="Arial"/>
        <family val="2"/>
      </rPr>
      <t>Entec</t>
    </r>
    <r>
      <rPr>
        <sz val="9"/>
        <rFont val="Arial"/>
        <family val="2"/>
      </rPr>
      <t xml:space="preserve"> (26 % N, 13 % S)    davon 30 % Nitrat- und 70 % Ammoniumanteil 
   - </t>
    </r>
    <r>
      <rPr>
        <b/>
        <sz val="9"/>
        <rFont val="Arial"/>
        <family val="2"/>
      </rPr>
      <t>Alzon</t>
    </r>
    <r>
      <rPr>
        <sz val="9"/>
        <rFont val="Arial"/>
        <family val="2"/>
      </rPr>
      <t xml:space="preserve"> (46 % N)    davon 100 % Ammoniumanteil </t>
    </r>
    <r>
      <rPr>
        <sz val="11"/>
        <rFont val="Arial"/>
        <family val="2"/>
      </rPr>
      <t xml:space="preserve">
</t>
    </r>
  </si>
  <si>
    <t>1. Werden nur Wirtschaftsdünger (incl. organischer Dünger - Sekundärrohstoffdünger) am Betrieb eingesetzt, so gelten 
    bei Einhaltung der Stickstoffvorgaben lt. AP-Nitrat auch die Mindeststandards bei P als eingehalten.</t>
  </si>
  <si>
    <r>
      <t xml:space="preserve"> </t>
    </r>
    <r>
      <rPr>
        <b/>
        <sz val="11"/>
        <rFont val="Arial"/>
        <family val="2"/>
      </rPr>
      <t>Erlaubt ist die Ausbringung</t>
    </r>
    <r>
      <rPr>
        <sz val="11"/>
        <rFont val="Arial"/>
        <family val="2"/>
      </rPr>
      <t xml:space="preserve"> rasch wirksamer stickstoffhältiger Düngemittel wie Handelsdünger, Gülle, Jauche 
    und Klärschlamm generell nur bei Bodenbedeckung oder unmittelbar vor der Feldbestellung oder zur Förderung 
    der Strohrotte (bis höchstens 30 kg feldfallender N/ha).</t>
    </r>
    <r>
      <rPr>
        <sz val="10"/>
        <rFont val="Arial"/>
        <family val="2"/>
      </rPr>
      <t xml:space="preserve"> Ab 31.12.2016 ist eine Düngung zur Maisstrohrotte nicht mehr zulässig!</t>
    </r>
  </si>
  <si>
    <r>
      <t xml:space="preserve"> </t>
    </r>
    <r>
      <rPr>
        <b/>
        <sz val="11"/>
        <rFont val="Arial"/>
        <family val="2"/>
      </rPr>
      <t>Herbstdüngung:</t>
    </r>
    <r>
      <rPr>
        <sz val="11"/>
        <rFont val="Arial"/>
        <family val="2"/>
      </rPr>
      <t xml:space="preserve"> erlaubt sind max. 60 kg feldfallender N/ha </t>
    </r>
    <r>
      <rPr>
        <sz val="10"/>
        <rFont val="Arial"/>
        <family val="2"/>
      </rPr>
      <t xml:space="preserve">(inklusive 30 kg N/ha für Strohdüngung) </t>
    </r>
    <r>
      <rPr>
        <sz val="11"/>
        <rFont val="Arial"/>
        <family val="2"/>
      </rPr>
      <t xml:space="preserve">aus Mineraldünger, Gülle, 
   Jauche und Klärschlamm ab der Ernte der letzten Hauptfrucht (bei Dauergrünland und Wechselwiese ab 1. Oktober) </t>
    </r>
  </si>
  <si>
    <t>20. September 
bis 1. März</t>
  </si>
  <si>
    <t>15. Oktober bis 
15. Februar</t>
  </si>
  <si>
    <r>
      <t xml:space="preserve">CC (Aktionsprogramm-Nitrat): </t>
    </r>
    <r>
      <rPr>
        <b/>
        <sz val="10"/>
        <color rgb="FF000000"/>
        <rFont val="Arial"/>
        <family val="2"/>
      </rPr>
      <t>Sperrfrist von bis</t>
    </r>
  </si>
  <si>
    <r>
      <t xml:space="preserve">ÖPUL - GW 2020: 
</t>
    </r>
    <r>
      <rPr>
        <b/>
        <sz val="10"/>
        <color rgb="FF000000"/>
        <rFont val="Arial"/>
        <family val="2"/>
      </rPr>
      <t>Sperrfrist von bis</t>
    </r>
  </si>
  <si>
    <r>
      <t xml:space="preserve">ÖPUL - GW 2020:
 </t>
    </r>
    <r>
      <rPr>
        <b/>
        <sz val="10"/>
        <color rgb="FF000000"/>
        <rFont val="Arial"/>
        <family val="2"/>
      </rPr>
      <t>Sperrfrist von bis</t>
    </r>
  </si>
  <si>
    <r>
      <t xml:space="preserve">Düngeausbringverbote </t>
    </r>
    <r>
      <rPr>
        <sz val="12"/>
        <rFont val="Arial"/>
        <family val="2"/>
      </rPr>
      <t>gemäß „Aktionsprogramm Nitrat 2012“ und „Grundwasser 2020“</t>
    </r>
  </si>
  <si>
    <r>
      <t>Pflanzenschutz Registernummer</t>
    </r>
    <r>
      <rPr>
        <sz val="9"/>
        <rFont val="Arial"/>
        <family val="2"/>
      </rPr>
      <t xml:space="preserve">
(nicht verpflichtend)</t>
    </r>
  </si>
  <si>
    <r>
      <t xml:space="preserve">N </t>
    </r>
    <r>
      <rPr>
        <b/>
        <sz val="11"/>
        <color indexed="8"/>
        <rFont val="Arial"/>
        <family val="2"/>
      </rPr>
      <t xml:space="preserve"> </t>
    </r>
    <r>
      <rPr>
        <sz val="11"/>
        <color indexed="8"/>
        <rFont val="Arial"/>
        <family val="2"/>
      </rPr>
      <t>jw</t>
    </r>
  </si>
  <si>
    <t>Düngewerte für 2015 und 2016</t>
  </si>
  <si>
    <t>Der Ausdruck kann unter Seitenlayout "Druckbereich aufheben" verändert werden!</t>
  </si>
  <si>
    <t>Unter Datei "Drucken" bitte eintragen welche Seiten gedruckt werden sollen: Seiten: 1 bis  ?</t>
  </si>
  <si>
    <t>Summe der eingegebenen Ackerflächen in ha:</t>
  </si>
  <si>
    <t>Düngeplanung Phosphormeldung korrigiert</t>
  </si>
  <si>
    <t>mineral. Phosphor</t>
  </si>
  <si>
    <t>Weideblatt Zellen freigegeben</t>
  </si>
  <si>
    <t>Es wurden ungültige Werte eingegeben, wie zB. 10 Stück, Hektar, Kilogramm usw.  
Excel kann nur mit Zahlen rechnen, nicht aber mit Wörtern wie Stück usw. 
Es dürfen nur  Zahlen bei Mengenangaben eingegeben werden! Wird statt 
einem Komma ein Punkt geschrieben, wird aus dieser Zahl ein Datum!</t>
  </si>
  <si>
    <r>
      <rPr>
        <b/>
        <sz val="14"/>
        <rFont val="Arial"/>
        <family val="2"/>
      </rPr>
      <t xml:space="preserve">Störungen durch Verschieben von Zellen können nur mit dem 
Bearbeitungs-Befehl  "Rückgängig" korrigiert werden!  </t>
    </r>
    <r>
      <rPr>
        <b/>
        <sz val="12"/>
        <rFont val="Arial"/>
        <family val="2"/>
      </rPr>
      <t xml:space="preserve">
</t>
    </r>
    <r>
      <rPr>
        <sz val="12"/>
        <rFont val="Arial"/>
        <family val="2"/>
      </rPr>
      <t>Sobald gespeichert wurde, ist die Datei nicht mehr korrigierbar und muss neu 
angelegt werden. Machen Sie daher gelegentlich Sicherungskopien von 
ihrer Datei. 
Tauchen in Berechnungsfeldern Fehlerzeichen, wie #NV (= nicht vorhanden) auf, 
kann die Ursache im Fehlen oder Änderungen von Grunddaten liegen. 
Wählen Sie die zugrunde liegenden Kulturen, Dünger etc. noch einmal neu aus 
und der Fehler wird meist wieder  behoben sein.</t>
    </r>
  </si>
  <si>
    <t>die grünen Zellen sind Auswahlzellen, Sie können Tiere, Dünger, Kulturen etc. auswählen.</t>
  </si>
  <si>
    <t>nur in den hellen gelben Zellen können Daten eingegeben werden</t>
  </si>
  <si>
    <t>Ergänzungen in der Beschreibung</t>
  </si>
  <si>
    <t>Das LK-Düngeberechnungsprogramm soll nur von Personen verwendet werden, 
die über den aktuellen Stand der Richtlinien geschult sind. 
Die Tabellenblätter sollen bei Kontrollen nur in Papierform vorgelegt werden. 
Falsche Ergebnisse können auch durch fehlerhafte Eingaben auftreten!</t>
  </si>
  <si>
    <t>Dieses Excel-Programm berechnet den gesamtbetrieblichen Nährstoffanfall 
und stellt diesen dem Stickstoff- und Phosphorbedarf gegenüber. 
Dies ist im Aktionsprogramm Nitrat ab 2015 für alle landwirtschaftlichen Betriebe 
vorgeschrieben - Ausnahmen siehe nächste Seite.</t>
  </si>
  <si>
    <t>Die Zellen in dieser Excel-Datei sind bis auf die hell-gelben und grünen Zellen gesperrt, 
damit Daten, Berechnungsformeln und Verknüpfungen geschützt sind.  Achtung - auch 
das Verschieben von Zellen führt zu Störungen. Die Durchrechnung wird in so einem Fall 
unmöglich und es taucht überall das Fehlerzeichen " # Bezug! " auf!</t>
  </si>
  <si>
    <t>zu "Hofdung"</t>
  </si>
  <si>
    <t>zu "Mineral"</t>
  </si>
  <si>
    <r>
      <t xml:space="preserve">LK-Düngerrechner </t>
    </r>
    <r>
      <rPr>
        <b/>
        <sz val="18"/>
        <rFont val="Arial"/>
        <family val="2"/>
      </rPr>
      <t>20</t>
    </r>
    <r>
      <rPr>
        <b/>
        <sz val="18"/>
        <rFont val="Arial"/>
        <family val="2"/>
      </rPr>
      <t>17</t>
    </r>
    <r>
      <rPr>
        <b/>
        <sz val="20"/>
        <rFont val="Arial"/>
        <family val="2"/>
      </rPr>
      <t xml:space="preserve">
</t>
    </r>
    <r>
      <rPr>
        <sz val="14"/>
        <rFont val="Arial"/>
        <family val="2"/>
      </rPr>
      <t>für</t>
    </r>
    <r>
      <rPr>
        <b/>
        <sz val="14"/>
        <rFont val="Arial"/>
        <family val="2"/>
      </rPr>
      <t xml:space="preserve"> </t>
    </r>
    <r>
      <rPr>
        <sz val="14"/>
        <rFont val="Arial"/>
        <family val="2"/>
      </rPr>
      <t>betriebsbezogene Aufzeichnungen</t>
    </r>
  </si>
  <si>
    <t>Sonnenblume GW Werte!</t>
  </si>
  <si>
    <t>2. Werden P-Mineraldünger eingesetzt, ist jährlich eine betriebsbezogene Nährstoffsaldierung zu berechnen, ähnlich dem 
    Stickstoff,  wobei dieser Saldo  kleiner gleich Null sein muss.</t>
  </si>
  <si>
    <t>3. Düngergaben über 100 kg Phosphor / ha LN sind betriebsbezogen zu dokumentieren und zu begründen, ausgenommen sind 
    Betriebe die - betreffend Phosphor - ausschließlich Wirtschaftsdünger verwenden. Begründungen sind zB Schaukeldüngung 
    oder niedrige Bodenversorgung aufgrund einer Bodenuntersuchung. ZB können bei Vorhandensein von gültigen Boden-
    untersuchungen (max. 5 Jahre alt) bei schlechter Bodenversorgung die entsprechenden Düngeempfehlungen für die 
    Bodengehaltsklassen A und B verwendet werden! Siehe in den Tabellen am Blatt N-Bedarf!</t>
  </si>
  <si>
    <t>Springer nicht älter als 5 Jahre!</t>
  </si>
  <si>
    <t>Ackerfutter Sperrfrist bis 15.2.?</t>
  </si>
  <si>
    <t>Junghennenaufzucht (bis 6 Wochen)</t>
  </si>
  <si>
    <t>Junghenneaufzucht (bis 6 Wochen)</t>
  </si>
  <si>
    <t>GW GL Salzburg /OÖ ? &gt; GW GL Sbg</t>
  </si>
  <si>
    <t>Salzburg Regionalprogramm: 
"Grundwasser Grünland"
Ertragslage "GW-GL Sbg"</t>
  </si>
  <si>
    <t>14,5 - 18</t>
  </si>
  <si>
    <t>&lt; 4,5</t>
  </si>
  <si>
    <t>6)</t>
  </si>
  <si>
    <t>4 - 5,5</t>
  </si>
  <si>
    <t>5,5 - 6,75</t>
  </si>
  <si>
    <t>6,75 - 8</t>
  </si>
  <si>
    <t>&lt;3,5</t>
  </si>
  <si>
    <t>5,0 - 6,25</t>
  </si>
  <si>
    <t>6,25 - 7,5</t>
  </si>
  <si>
    <t>Dinkel (Spelzenanteil ca. 30 %)  (Winter-, Sommer-)</t>
  </si>
  <si>
    <t>5,5 - 6,5</t>
  </si>
  <si>
    <t>6,5 - 7,5</t>
  </si>
  <si>
    <t>Roggen  (Winter-, Sommer-)</t>
  </si>
  <si>
    <t>Wintertriticale</t>
  </si>
  <si>
    <t>Braugerste (Sommer-, Winter-)</t>
  </si>
  <si>
    <t>&lt; 8,0</t>
  </si>
  <si>
    <t>8,0 - 10,0</t>
  </si>
  <si>
    <t>10,0 - 11,5</t>
  </si>
  <si>
    <t>11,5 - 13,0</t>
  </si>
  <si>
    <t>Silomais (Frischmasse)</t>
  </si>
  <si>
    <t>75 - 85</t>
  </si>
  <si>
    <t>85 - 95</t>
  </si>
  <si>
    <t>&gt; 95</t>
  </si>
  <si>
    <t>Früh- und Pflanzkartoffel</t>
  </si>
  <si>
    <t>Körnerhirse/-sorghum</t>
  </si>
  <si>
    <t>Silohirse/sorghum (TM)</t>
  </si>
  <si>
    <t>Silohirse/sorghum (FM)</t>
  </si>
  <si>
    <t>Körnerrraps</t>
  </si>
  <si>
    <t>2,5 - 3,5</t>
  </si>
  <si>
    <t>3,5 - 4,25</t>
  </si>
  <si>
    <t>4,25 - 5,0</t>
  </si>
  <si>
    <t>Ackerbohnen (Puffbohnen)</t>
  </si>
  <si>
    <t>2,0 - 3,5</t>
  </si>
  <si>
    <t>&gt;3,5</t>
  </si>
  <si>
    <t>Körnererbsen</t>
  </si>
  <si>
    <t>&gt;3</t>
  </si>
  <si>
    <t>Sojabohnen</t>
  </si>
  <si>
    <t>Sonnenblumen</t>
  </si>
  <si>
    <t>4,0 - 5,0</t>
  </si>
  <si>
    <t>Erdbeeren</t>
  </si>
  <si>
    <t>&lt;10</t>
  </si>
  <si>
    <t>&gt;18</t>
  </si>
  <si>
    <t>&lt; 14</t>
  </si>
  <si>
    <t>14 - 18</t>
  </si>
  <si>
    <t>&gt; 18</t>
  </si>
  <si>
    <t>45 - 60</t>
  </si>
  <si>
    <t>&lt; 130</t>
  </si>
  <si>
    <t>130 - 160</t>
  </si>
  <si>
    <t>&gt; 160</t>
  </si>
  <si>
    <t>65 - 80</t>
  </si>
  <si>
    <t>35 - 40</t>
  </si>
  <si>
    <t>&lt; 75</t>
  </si>
  <si>
    <t>30 -50</t>
  </si>
  <si>
    <t>&lt; 80</t>
  </si>
  <si>
    <t>80 - 100</t>
  </si>
  <si>
    <t>30 - 50</t>
  </si>
  <si>
    <t>70 - 80</t>
  </si>
  <si>
    <t>12 - 18</t>
  </si>
  <si>
    <t>25 - 34</t>
  </si>
  <si>
    <t>&gt; 34</t>
  </si>
  <si>
    <t>&lt; 140</t>
  </si>
  <si>
    <t>140 - 160</t>
  </si>
  <si>
    <t xml:space="preserve">25 - 40 </t>
  </si>
  <si>
    <t>&gt; laut Aktionsprogramm, geändert in SGD 7 auf 475 kg!</t>
  </si>
  <si>
    <t>Bitterlupinen</t>
  </si>
  <si>
    <t>Emmer oder Einkorn (Sommerung)</t>
  </si>
  <si>
    <t>Emmer oder Einkorn (Winterung)</t>
  </si>
  <si>
    <t>manuelle Eingabe, arithemtisches Mittel</t>
  </si>
  <si>
    <t>Grünmais</t>
  </si>
  <si>
    <t>Grünschnittroggen</t>
  </si>
  <si>
    <t>&lt;0,8</t>
  </si>
  <si>
    <t>0,8-1</t>
  </si>
  <si>
    <t>&gt;1</t>
  </si>
  <si>
    <t>3,0 - 5</t>
  </si>
  <si>
    <t>Lupinen</t>
  </si>
  <si>
    <t>Quinoa</t>
  </si>
  <si>
    <t>Saatgutvermehrung Zuckerrübe</t>
  </si>
  <si>
    <t>4, 0 - 4,5</t>
  </si>
  <si>
    <t>4, 5 - 5,0</t>
  </si>
  <si>
    <t>10,0 - 12,0</t>
  </si>
  <si>
    <t>12,0 - 14,0</t>
  </si>
  <si>
    <t xml:space="preserve"> 8 -14</t>
  </si>
  <si>
    <t xml:space="preserve"> 2 - 3</t>
  </si>
  <si>
    <t>Einjährige Baumschulen</t>
  </si>
  <si>
    <t>Energieholz ohne Robinie</t>
  </si>
  <si>
    <t>Energieholz  Robinie</t>
  </si>
  <si>
    <t>5 - 8</t>
  </si>
  <si>
    <t xml:space="preserve"> 8 - 10</t>
  </si>
  <si>
    <t>1,5 - 1,8</t>
  </si>
  <si>
    <t>&gt; 1,8</t>
  </si>
  <si>
    <t>Mehrjährige Baumschulen</t>
  </si>
  <si>
    <t>Anderes Obst</t>
  </si>
  <si>
    <t xml:space="preserve"> 30 - 40</t>
  </si>
  <si>
    <t>Obst/Hopfen Bodengesundung</t>
  </si>
  <si>
    <t>Rebschulen</t>
  </si>
  <si>
    <t>0,5 - 4</t>
  </si>
  <si>
    <t>&gt;  4</t>
  </si>
  <si>
    <t>Apfelbeere, Aronia</t>
  </si>
  <si>
    <t>6 - 8</t>
  </si>
  <si>
    <t>Sonstige Spezialkulturflächen</t>
  </si>
  <si>
    <t xml:space="preserve"> 6 - 10</t>
  </si>
  <si>
    <t>Sonstige Weinflächen</t>
  </si>
  <si>
    <t>5-10</t>
  </si>
  <si>
    <r>
      <t xml:space="preserve">Heil- und Gewürzpflanzen:    </t>
    </r>
    <r>
      <rPr>
        <b/>
        <sz val="11"/>
        <color rgb="FFFF0000"/>
        <rFont val="Arial"/>
        <family val="2"/>
      </rPr>
      <t xml:space="preserve"> </t>
    </r>
  </si>
  <si>
    <t>2) Eine weitere Nährstoffzufuhr ist nicht zu empfehlen; Nährstoffe aus hofeigenen Wirtschaftsdüngern sind in der Höhe des Pflanzenentzuges tolerierbar.</t>
  </si>
  <si>
    <t>3) Keine Düngung, Rückführung von Phosphor aus Wirtschaftsdüngern möglich.</t>
  </si>
  <si>
    <t>4) Differenzierte Anweisungen zur Einzelpflanzendüngung und zur Interpretation von Nadelanalysen sind den "Empfehlungen für die sachgerechte Düngung von Christbaumkulturen" des Fachbeirates für Bodenfruchtbarkeit und Bodenschutz in der geltenden Fassung zu entnehmen.</t>
  </si>
  <si>
    <t>5) Nutzung: eine Nutzung zur Saatgutgewinnung zählt wie 2 Schnittnutzungen; Gräserbestände mit einer Schnitt- und einer Samennutzung sind daher als 3 Nutzungen einzustufen.</t>
  </si>
  <si>
    <t>6) Abschlag von 50 % des Wertes der mittleren Ertragslage möglich; keine mineralische Düngung zu Getreide; Nährstoffe aus hofeigenen Wirtschaftsdüngern sind in der Höhe des Pflanzenentzuges tolerierbar.</t>
  </si>
  <si>
    <t>GVE Schweine</t>
  </si>
  <si>
    <t>Weideblatt öffnen</t>
  </si>
  <si>
    <t>Speise- und Industriekartoffeln</t>
  </si>
  <si>
    <t>Kleegras (&gt; 60% Klee)  1 Nutzung</t>
  </si>
  <si>
    <t>Klee u. Luzerne  1 Nutzung</t>
  </si>
  <si>
    <t>Klee u. Luzerne  2 Nutzungen</t>
  </si>
  <si>
    <t>Klee u. Luzerne  3 Nutzungen</t>
  </si>
  <si>
    <t>Klee u. Luzerne  4 Nutzungen</t>
  </si>
  <si>
    <t>Klee u. Luzerne  5 Nutzungen</t>
  </si>
  <si>
    <t>Klee u. Luzerne  6 Nutzungen</t>
  </si>
  <si>
    <t>Weizen &lt; 14 % Rohprotein</t>
  </si>
  <si>
    <t>Weizen ≥ 14 % Rohprotein</t>
  </si>
  <si>
    <t>Durum-Weizen  (Wi.-, So.-)</t>
  </si>
  <si>
    <t>Hafer</t>
  </si>
  <si>
    <t>Grünland über 40 % Leguminosen 2 Nutzungen</t>
  </si>
  <si>
    <t>Grünland über 40 % Leguminosen 3 Nutzungen</t>
  </si>
  <si>
    <t>Grünland über 40 % Leguminosen 4 Nutzungen</t>
  </si>
  <si>
    <t>Grünland über 40 % Leguminosen 5 Nutzungen</t>
  </si>
  <si>
    <t>Grünland über 40 % Leguminosen 6 Nutzungen</t>
  </si>
  <si>
    <t>Grünland über 40 % Leguminosen 1 Nutzung</t>
  </si>
  <si>
    <t>GW Sbg mittel</t>
  </si>
  <si>
    <t>GW Sbg hoch</t>
  </si>
  <si>
    <t>Grünland &lt; 40 % Leguminosen  1 Nutzung</t>
  </si>
  <si>
    <t>Grünland &lt; 40 % Leguminosen  2 Nutzungen</t>
  </si>
  <si>
    <t>Grünland &lt; 40 % Leguminosen  3 Nutzungen</t>
  </si>
  <si>
    <t>Grünland &lt; 40 % Leguminosen  4 Nutzungen</t>
  </si>
  <si>
    <t>Grünland &lt; 40 % Leguminosen  5 Nutzungen</t>
  </si>
  <si>
    <t>Grünland &lt; 40 % Leguminosen  6 Nutzungen</t>
  </si>
  <si>
    <t>Dinkel (Spelzenanteil ca. 30 %)  (Wi.-, So.-)</t>
  </si>
  <si>
    <t>laut AP-Nitrat und Richtlinien fue die Sachgerechte Düngung Auflage 7</t>
  </si>
  <si>
    <t xml:space="preserve">hoch </t>
  </si>
  <si>
    <t>Ackerfutterkulturen:</t>
  </si>
  <si>
    <t>1 Nutzung</t>
  </si>
  <si>
    <t>3)</t>
  </si>
  <si>
    <t>2 Nutzungen</t>
  </si>
  <si>
    <t>&lt; 4,0</t>
  </si>
  <si>
    <t>3 Nutzungen</t>
  </si>
  <si>
    <t>&lt; 6,0</t>
  </si>
  <si>
    <t>6,0 - 8,0</t>
  </si>
  <si>
    <t>4 Nutzungen</t>
  </si>
  <si>
    <t>5 Nutzungen</t>
  </si>
  <si>
    <t>&lt; 11,0</t>
  </si>
  <si>
    <t>6 Nutzungen</t>
  </si>
  <si>
    <t>1 Nutzungen</t>
  </si>
  <si>
    <t>&lt; 5,5</t>
  </si>
  <si>
    <t>6,0 - 9,0</t>
  </si>
  <si>
    <t xml:space="preserve"> Stickstoffwerte</t>
  </si>
  <si>
    <t>laut AP-Nitrat  und SGD 7</t>
  </si>
  <si>
    <r>
      <t xml:space="preserve">Stickstoffwerte </t>
    </r>
    <r>
      <rPr>
        <sz val="16"/>
        <rFont val="Arial"/>
        <family val="2"/>
      </rPr>
      <t xml:space="preserve">                            </t>
    </r>
  </si>
  <si>
    <r>
      <rPr>
        <b/>
        <sz val="11"/>
        <rFont val="Arial"/>
        <family val="2"/>
      </rPr>
      <t>N-Werte</t>
    </r>
    <r>
      <rPr>
        <sz val="10"/>
        <rFont val="Arial"/>
        <family val="2"/>
      </rPr>
      <t xml:space="preserve"> für
vorbeugenden
</t>
    </r>
    <r>
      <rPr>
        <b/>
        <sz val="11"/>
        <rFont val="Arial"/>
        <family val="2"/>
      </rPr>
      <t>GW-Schutz</t>
    </r>
  </si>
  <si>
    <r>
      <t>Phosphor</t>
    </r>
    <r>
      <rPr>
        <sz val="16"/>
        <rFont val="Arial"/>
        <family val="2"/>
      </rPr>
      <t xml:space="preserve"> (als ÖPUL Mindeststandart)</t>
    </r>
  </si>
  <si>
    <r>
      <t xml:space="preserve">Kalium </t>
    </r>
    <r>
      <rPr>
        <sz val="16"/>
        <rFont val="Arial"/>
        <family val="2"/>
      </rPr>
      <t>(nur als Empfehlung)</t>
    </r>
  </si>
  <si>
    <r>
      <t>N-Werte</t>
    </r>
    <r>
      <rPr>
        <sz val="12"/>
        <rFont val="Arial"/>
        <family val="2"/>
      </rPr>
      <t xml:space="preserve"> 
</t>
    </r>
    <r>
      <rPr>
        <b/>
        <sz val="12"/>
        <rFont val="Arial"/>
        <family val="2"/>
      </rPr>
      <t>GW-Schutz</t>
    </r>
  </si>
  <si>
    <r>
      <rPr>
        <sz val="11"/>
        <rFont val="Symbol"/>
        <family val="1"/>
        <charset val="2"/>
      </rPr>
      <t>³</t>
    </r>
    <r>
      <rPr>
        <sz val="11"/>
        <rFont val="Arial"/>
        <family val="2"/>
      </rPr>
      <t xml:space="preserve"> 2,5</t>
    </r>
  </si>
  <si>
    <r>
      <rPr>
        <sz val="11"/>
        <rFont val="Symbol"/>
        <family val="1"/>
        <charset val="2"/>
      </rPr>
      <t>³</t>
    </r>
    <r>
      <rPr>
        <sz val="11"/>
        <rFont val="Arial"/>
        <family val="2"/>
      </rPr>
      <t xml:space="preserve"> 5,5</t>
    </r>
  </si>
  <si>
    <r>
      <rPr>
        <sz val="11"/>
        <rFont val="Symbol"/>
        <family val="1"/>
        <charset val="2"/>
      </rPr>
      <t>³</t>
    </r>
    <r>
      <rPr>
        <sz val="11"/>
        <rFont val="Arial"/>
        <family val="2"/>
      </rPr>
      <t xml:space="preserve"> 8,0</t>
    </r>
  </si>
  <si>
    <r>
      <rPr>
        <sz val="11"/>
        <rFont val="Symbol"/>
        <family val="1"/>
        <charset val="2"/>
      </rPr>
      <t>³</t>
    </r>
    <r>
      <rPr>
        <sz val="11"/>
        <rFont val="Arial"/>
        <family val="2"/>
      </rPr>
      <t xml:space="preserve"> 9,5</t>
    </r>
  </si>
  <si>
    <r>
      <rPr>
        <sz val="11"/>
        <rFont val="Symbol"/>
        <family val="1"/>
        <charset val="2"/>
      </rPr>
      <t>³</t>
    </r>
    <r>
      <rPr>
        <sz val="11"/>
        <rFont val="Arial"/>
        <family val="2"/>
      </rPr>
      <t xml:space="preserve"> 11,0</t>
    </r>
  </si>
  <si>
    <r>
      <rPr>
        <sz val="11"/>
        <rFont val="Symbol"/>
        <family val="1"/>
        <charset val="2"/>
      </rPr>
      <t>³</t>
    </r>
    <r>
      <rPr>
        <sz val="11"/>
        <rFont val="Arial"/>
        <family val="2"/>
      </rPr>
      <t xml:space="preserve"> 12,5</t>
    </r>
  </si>
  <si>
    <r>
      <rPr>
        <sz val="11"/>
        <rFont val="Symbol"/>
        <family val="1"/>
        <charset val="2"/>
      </rPr>
      <t>³</t>
    </r>
    <r>
      <rPr>
        <sz val="11"/>
        <rFont val="Arial"/>
        <family val="2"/>
      </rPr>
      <t xml:space="preserve"> 4,0</t>
    </r>
  </si>
  <si>
    <r>
      <rPr>
        <sz val="11"/>
        <rFont val="Symbol"/>
        <family val="1"/>
        <charset val="2"/>
      </rPr>
      <t>³</t>
    </r>
    <r>
      <rPr>
        <sz val="11"/>
        <rFont val="Arial"/>
        <family val="2"/>
      </rPr>
      <t xml:space="preserve"> 2</t>
    </r>
  </si>
  <si>
    <r>
      <rPr>
        <b/>
        <sz val="11"/>
        <rFont val="Arial"/>
        <family val="2"/>
      </rPr>
      <t xml:space="preserve">Dauerweide </t>
    </r>
    <r>
      <rPr>
        <sz val="11"/>
        <rFont val="Arial"/>
        <family val="2"/>
      </rPr>
      <t>- Stundenweide (2 - 6 Stunden)</t>
    </r>
  </si>
  <si>
    <r>
      <t xml:space="preserve">Bergmähder </t>
    </r>
    <r>
      <rPr>
        <sz val="11"/>
        <rFont val="Arial"/>
        <family val="2"/>
      </rPr>
      <t>mit Code "BM 1/ 2 / 3"</t>
    </r>
  </si>
  <si>
    <t>Eissalat (Vlies 1. Satz)</t>
  </si>
  <si>
    <t>N-Werte
für GW</t>
  </si>
  <si>
    <t>Gemüse</t>
  </si>
  <si>
    <t>Weitere Ackerkulturen</t>
  </si>
  <si>
    <t>maximale Nährstoffmengen in kg/ha</t>
  </si>
  <si>
    <r>
      <rPr>
        <b/>
        <sz val="14"/>
        <rFont val="Arial"/>
        <family val="2"/>
      </rPr>
      <t>Grünland:</t>
    </r>
    <r>
      <rPr>
        <sz val="10"/>
        <rFont val="Arial"/>
        <family val="2"/>
      </rPr>
      <t xml:space="preserve">  Düngung nach Bodenuntersuchung</t>
    </r>
  </si>
  <si>
    <t xml:space="preserve">1) Grundsätzlich keine mineralische Düngung; bei niedriger Wasserlöslichkeit ist eine Düngung in der Höhe von 50 % des Wertes der mittleren Ertragslage möglich; bei Böden über 15 % Tongehalt ist eine Unterfußdüngung bis zu 50 % des Wertes der mittleren Ertragslage möglich; </t>
  </si>
  <si>
    <t xml:space="preserve">   Nährstoffe aus hofeigenen Wirtschaftsdüngern sind in der Höhe des Pflanzenentzuges tolerierbar.</t>
  </si>
  <si>
    <r>
      <t>Christbäume - Tanne/Fichte - 1 Jahr Kulturalter 4</t>
    </r>
    <r>
      <rPr>
        <i/>
        <sz val="11"/>
        <rFont val="Arial"/>
        <family val="2"/>
      </rPr>
      <t>)</t>
    </r>
  </si>
  <si>
    <r>
      <t>Christbäume - Tanne/Fichte - 2 Jahre Kulturalter 4</t>
    </r>
    <r>
      <rPr>
        <i/>
        <sz val="11"/>
        <rFont val="Arial"/>
        <family val="2"/>
      </rPr>
      <t>)</t>
    </r>
  </si>
  <si>
    <r>
      <t>Christbäume - Tanne/Fichte - 3 Jahre Kulturalter 4</t>
    </r>
    <r>
      <rPr>
        <i/>
        <sz val="11"/>
        <rFont val="Arial"/>
        <family val="2"/>
      </rPr>
      <t>)</t>
    </r>
  </si>
  <si>
    <r>
      <t>Christbäume - Tanne - 4 Jahre Kulturalter 4</t>
    </r>
    <r>
      <rPr>
        <i/>
        <sz val="11"/>
        <rFont val="Arial"/>
        <family val="2"/>
      </rPr>
      <t>)</t>
    </r>
  </si>
  <si>
    <r>
      <t>Christbäume - Tanne - 5 Jahre Kulturalter 4</t>
    </r>
    <r>
      <rPr>
        <i/>
        <sz val="11"/>
        <rFont val="Arial"/>
        <family val="2"/>
      </rPr>
      <t>)</t>
    </r>
  </si>
  <si>
    <r>
      <t>Christbäume - Tanne - 6 Jahre Kulturalter 4</t>
    </r>
    <r>
      <rPr>
        <i/>
        <sz val="11"/>
        <rFont val="Arial"/>
        <family val="2"/>
      </rPr>
      <t>)</t>
    </r>
  </si>
  <si>
    <r>
      <t>Christbäume - Tanne - 7 Jahre Kulturalter 4</t>
    </r>
    <r>
      <rPr>
        <i/>
        <sz val="11"/>
        <rFont val="Arial"/>
        <family val="2"/>
      </rPr>
      <t>)</t>
    </r>
  </si>
  <si>
    <r>
      <t>Christbäume - Tanne - 8 Jahre Kulturalter 4</t>
    </r>
    <r>
      <rPr>
        <i/>
        <sz val="11"/>
        <rFont val="Arial"/>
        <family val="2"/>
      </rPr>
      <t>)</t>
    </r>
  </si>
  <si>
    <r>
      <t>Christbäume - Tanne - 9 Jahre Kulturalter 4</t>
    </r>
    <r>
      <rPr>
        <i/>
        <sz val="11"/>
        <rFont val="Arial"/>
        <family val="2"/>
      </rPr>
      <t>)</t>
    </r>
  </si>
  <si>
    <r>
      <t>Christbäume - Tanne - 10 Jahre Kulturalter 4</t>
    </r>
    <r>
      <rPr>
        <i/>
        <sz val="11"/>
        <rFont val="Arial"/>
        <family val="2"/>
      </rPr>
      <t>)</t>
    </r>
  </si>
  <si>
    <r>
      <t>Christbäume - Tanne - älter als 10 Jahre 4</t>
    </r>
    <r>
      <rPr>
        <i/>
        <sz val="11"/>
        <rFont val="Arial"/>
        <family val="2"/>
      </rPr>
      <t>)</t>
    </r>
  </si>
  <si>
    <r>
      <t>Christbäume - Fichte - 4 Jahre Kulturalter 4</t>
    </r>
    <r>
      <rPr>
        <i/>
        <sz val="11"/>
        <rFont val="Arial"/>
        <family val="2"/>
      </rPr>
      <t>)</t>
    </r>
  </si>
  <si>
    <r>
      <t>Christbäume - Fichte - 5 Jahre Kulturalter 4</t>
    </r>
    <r>
      <rPr>
        <i/>
        <sz val="11"/>
        <rFont val="Arial"/>
        <family val="2"/>
      </rPr>
      <t>)</t>
    </r>
  </si>
  <si>
    <r>
      <t>Christbäume - Fichte - 6 Jahre Kulturalter 4</t>
    </r>
    <r>
      <rPr>
        <i/>
        <sz val="11"/>
        <rFont val="Arial"/>
        <family val="2"/>
      </rPr>
      <t>)</t>
    </r>
  </si>
  <si>
    <r>
      <t>Christbäume - Fichte - 7 Jahre Kulturalter 4</t>
    </r>
    <r>
      <rPr>
        <i/>
        <sz val="11"/>
        <rFont val="Arial"/>
        <family val="2"/>
      </rPr>
      <t>)</t>
    </r>
  </si>
  <si>
    <r>
      <t>Christbäume - Fichte - 8 Jahre Kulturalter 4</t>
    </r>
    <r>
      <rPr>
        <i/>
        <sz val="11"/>
        <rFont val="Arial"/>
        <family val="2"/>
      </rPr>
      <t>)</t>
    </r>
  </si>
  <si>
    <r>
      <t>Christbäume - Fichte - 9 Jahre Kulturalter 4</t>
    </r>
    <r>
      <rPr>
        <i/>
        <sz val="11"/>
        <rFont val="Arial"/>
        <family val="2"/>
      </rPr>
      <t>)</t>
    </r>
  </si>
  <si>
    <r>
      <t>Christbäume - Fichte - 10 Jahre Kulturalter 4</t>
    </r>
    <r>
      <rPr>
        <i/>
        <sz val="11"/>
        <rFont val="Arial"/>
        <family val="2"/>
      </rPr>
      <t>)</t>
    </r>
  </si>
  <si>
    <r>
      <t>Christbäume - Fichte - älter als 10 Jahre 4</t>
    </r>
    <r>
      <rPr>
        <i/>
        <sz val="11"/>
        <rFont val="Arial"/>
        <family val="2"/>
      </rPr>
      <t>)</t>
    </r>
  </si>
  <si>
    <r>
      <rPr>
        <b/>
        <sz val="11"/>
        <color rgb="FF000000"/>
        <rFont val="Arial"/>
        <family val="2"/>
      </rPr>
      <t xml:space="preserve">Raps, Wintergerste, Kümmel,
Ackerfeldfutter  </t>
    </r>
    <r>
      <rPr>
        <sz val="11"/>
        <color rgb="FF000000"/>
        <rFont val="Arial"/>
        <family val="2"/>
      </rPr>
      <t>(früher N-Bedarf)</t>
    </r>
  </si>
  <si>
    <t>Raps, Wintergerste, Kümmel 
Ackerfeldfutter  (früher N-Bedarf)</t>
  </si>
  <si>
    <t>Raps, Wintergerste, Kümmel Ackerfeldfutter  (früher N-Bedarf)</t>
  </si>
  <si>
    <t>Neue Düngewerte aus SGD 7. Auflage</t>
  </si>
  <si>
    <t>lja</t>
  </si>
  <si>
    <t>P Begrenzung auf 2050!</t>
  </si>
  <si>
    <t>Dauerweide - Ganztagsweide</t>
  </si>
  <si>
    <t>80</t>
  </si>
  <si>
    <r>
      <t>Dauerweide</t>
    </r>
    <r>
      <rPr>
        <sz val="11"/>
        <rFont val="Arial"/>
        <family val="2"/>
      </rPr>
      <t xml:space="preserve"> - Ganztagsweide (&gt; 12 Stunden)</t>
    </r>
  </si>
  <si>
    <r>
      <t>Dauerweide</t>
    </r>
    <r>
      <rPr>
        <sz val="11"/>
        <rFont val="Arial"/>
        <family val="2"/>
      </rPr>
      <t xml:space="preserve"> - Halbtagsweide (6 - 12 Stunden)</t>
    </r>
  </si>
  <si>
    <t>20</t>
  </si>
  <si>
    <t>Sämereienvermehrung mit Alpingräser 5)</t>
  </si>
  <si>
    <r>
      <t>Sämereienvermehrung mit Gräser für Wirtschaftsgrünland</t>
    </r>
    <r>
      <rPr>
        <vertAlign val="superscript"/>
        <sz val="10"/>
        <rFont val="Arial"/>
        <family val="2"/>
      </rPr>
      <t xml:space="preserve"> 5</t>
    </r>
    <r>
      <rPr>
        <sz val="10"/>
        <rFont val="Arial"/>
        <family val="2"/>
      </rPr>
      <t>)</t>
    </r>
  </si>
  <si>
    <t>Sämereienvermehrung mit Rotklee</t>
  </si>
  <si>
    <t>Wechselwiese &lt; 40% Leg. 1 Nutz.</t>
  </si>
  <si>
    <t>Wechselwiese &lt; 40% Leg. 2 Nutz.</t>
  </si>
  <si>
    <t>Wechselwiese &lt; 40% Leg. 3 Nutz.</t>
  </si>
  <si>
    <t>Wechselwiese &lt; 40% Leg. 4 Nutz.</t>
  </si>
  <si>
    <t>Wechselwiese &lt; 40% Leg. 5 Nutz.</t>
  </si>
  <si>
    <t>Wechselwiese &lt; 40% Leg. 6 Nutz.</t>
  </si>
  <si>
    <t>Wechselwiese  40 - 60% Leg. 1 Nutz.</t>
  </si>
  <si>
    <t>Wechselwiese  40 - 60% Leg. 2 Nutz.</t>
  </si>
  <si>
    <t>Wechselwiese  40 - 60% Leg. 3 Nutz.</t>
  </si>
  <si>
    <t>Wechselwiese  40 - 60% Leg. 4 Nutz.</t>
  </si>
  <si>
    <t>Wechselwiese  40 - 60% Leg. 5 Nutz.</t>
  </si>
  <si>
    <t>Wechselwiese  40 - 60% Leg. 6 Nutz.</t>
  </si>
  <si>
    <t>Kleegras (&gt; 60% Klee)   2 Nutz.</t>
  </si>
  <si>
    <t>Kleegras (&gt; 60% Klee)   3 Nutz.</t>
  </si>
  <si>
    <t>Kleegras (&gt; 60% Klee)   4 Nutz.</t>
  </si>
  <si>
    <t>Kleegras (&gt; 60% Klee)   5 Nutz.</t>
  </si>
  <si>
    <t>Kleegras (&gt; 60% Klee)   6 Nutz.</t>
  </si>
  <si>
    <r>
      <t xml:space="preserve">Futter/ Energiegras </t>
    </r>
    <r>
      <rPr>
        <sz val="14"/>
        <color theme="1"/>
        <rFont val="Arial"/>
        <family val="2"/>
      </rPr>
      <t>&gt;</t>
    </r>
    <r>
      <rPr>
        <sz val="11"/>
        <color theme="1"/>
        <rFont val="Arial"/>
        <family val="2"/>
      </rPr>
      <t xml:space="preserve"> 90% Gras  1 Nutz.</t>
    </r>
  </si>
  <si>
    <r>
      <t xml:space="preserve">Futter/ Energiegras </t>
    </r>
    <r>
      <rPr>
        <sz val="14"/>
        <color theme="1"/>
        <rFont val="Arial"/>
        <family val="2"/>
      </rPr>
      <t>&gt;</t>
    </r>
    <r>
      <rPr>
        <sz val="11"/>
        <color theme="1"/>
        <rFont val="Arial"/>
        <family val="2"/>
      </rPr>
      <t xml:space="preserve"> 90% Gras  2 Nutz.</t>
    </r>
  </si>
  <si>
    <r>
      <t xml:space="preserve">Futter/ Energiegras </t>
    </r>
    <r>
      <rPr>
        <sz val="14"/>
        <color theme="1"/>
        <rFont val="Arial"/>
        <family val="2"/>
      </rPr>
      <t>&gt;</t>
    </r>
    <r>
      <rPr>
        <sz val="11"/>
        <color theme="1"/>
        <rFont val="Arial"/>
        <family val="2"/>
      </rPr>
      <t xml:space="preserve"> 90% Gras  3 Nutz.</t>
    </r>
  </si>
  <si>
    <r>
      <t xml:space="preserve">Futter/ Energiegras </t>
    </r>
    <r>
      <rPr>
        <sz val="14"/>
        <color theme="1"/>
        <rFont val="Arial"/>
        <family val="2"/>
      </rPr>
      <t>&gt;</t>
    </r>
    <r>
      <rPr>
        <sz val="11"/>
        <color theme="1"/>
        <rFont val="Arial"/>
        <family val="2"/>
      </rPr>
      <t xml:space="preserve"> 90% Gras  4 Nutz.</t>
    </r>
  </si>
  <si>
    <r>
      <t xml:space="preserve">Futter/ Energiegras </t>
    </r>
    <r>
      <rPr>
        <sz val="14"/>
        <color theme="1"/>
        <rFont val="Arial"/>
        <family val="2"/>
      </rPr>
      <t>&gt;</t>
    </r>
    <r>
      <rPr>
        <sz val="11"/>
        <color theme="1"/>
        <rFont val="Arial"/>
        <family val="2"/>
      </rPr>
      <t xml:space="preserve"> 90% Gras  5 Nutz.</t>
    </r>
  </si>
  <si>
    <r>
      <t xml:space="preserve">Futter/ Energiegras </t>
    </r>
    <r>
      <rPr>
        <sz val="14"/>
        <color theme="1"/>
        <rFont val="Arial"/>
        <family val="2"/>
      </rPr>
      <t>&gt;</t>
    </r>
    <r>
      <rPr>
        <sz val="11"/>
        <color theme="1"/>
        <rFont val="Arial"/>
        <family val="2"/>
      </rPr>
      <t xml:space="preserve"> 90% Gras  6 Nutz.</t>
    </r>
  </si>
  <si>
    <t>Durum - Hartweizen</t>
  </si>
  <si>
    <t>Winterroggen</t>
  </si>
  <si>
    <t>Sommer/Winterbraugerste</t>
  </si>
  <si>
    <t>Silomais</t>
  </si>
  <si>
    <t>Frühkartoffeln</t>
  </si>
  <si>
    <t>55- 65</t>
  </si>
  <si>
    <t>1,5 - 2,5</t>
  </si>
  <si>
    <t>2,5 - 3,0</t>
  </si>
  <si>
    <t>&gt; 3,5</t>
  </si>
  <si>
    <t>0,8 - 1</t>
  </si>
  <si>
    <t>1 - 1,2</t>
  </si>
  <si>
    <t>&gt; 1,2</t>
  </si>
  <si>
    <t>&gt; 0,6</t>
  </si>
  <si>
    <t>&gt; 0,8</t>
  </si>
  <si>
    <t>&lt; 0,1</t>
  </si>
  <si>
    <t>0,1 - 0,4</t>
  </si>
  <si>
    <t>&gt; 0,4</t>
  </si>
  <si>
    <t>&lt; 0,2</t>
  </si>
  <si>
    <t>0,2 - 0,7</t>
  </si>
  <si>
    <t>&gt; 0,7</t>
  </si>
  <si>
    <t>&lt; 0,3</t>
  </si>
  <si>
    <t>0,3 - 0,5</t>
  </si>
  <si>
    <t>&gt; 0,5</t>
  </si>
  <si>
    <r>
      <t>Sämereienvermehrung mit Gräser für Wirtschaftsgrünland</t>
    </r>
    <r>
      <rPr>
        <vertAlign val="superscript"/>
        <sz val="11"/>
        <rFont val="Arial"/>
        <family val="2"/>
      </rPr>
      <t xml:space="preserve"> 5</t>
    </r>
    <r>
      <rPr>
        <sz val="11"/>
        <rFont val="Arial"/>
        <family val="2"/>
      </rPr>
      <t>)</t>
    </r>
  </si>
  <si>
    <t>Triticale</t>
  </si>
  <si>
    <t xml:space="preserve">Hafer </t>
  </si>
  <si>
    <t>Körnerraps</t>
  </si>
  <si>
    <t>Ackerbohnen</t>
  </si>
  <si>
    <t>Futterrüben (Runkel-, Kohlrüben)</t>
  </si>
  <si>
    <t xml:space="preserve">diese Planungen ist nicht verpflichtend und wird 
von den anderen Berechnungen nicht übernommen! </t>
  </si>
  <si>
    <t xml:space="preserve">Füllen Sie die Tabellenblätter "Betrieb", "Tiere", "Organ.-Dü" , "Mineral-Dü"und "N-Bedarf" nacheinander aus! 
Am Tabellenblatt "Ergebnis" werden nun alle Daten dokumentiert die laut Aktionsprogramme 2012 § 7 erforderlich sind. 
• Bei Teilnahme am System Immergrün ist das Blatt 
  "System I" auszufüllen. 
• Bei Teilnahme an der Maßnahme "Bodennahe Gülleausbringung" 
  bitte das Tabellenblatt "Bodennah" verwenden
• Die im Rahmen der Lebensmittelsicherheit vorgeschriebenen 
  Aufzeichnungen können Sie am Tabellenblatt "Pfl_Schutz"  
  dokumentieren.
Schlagbezogene Aufzeichnungen über die Düngung sind nur bei Teilnahme an der Maßnahme "Vorbeugender Grundwasserschutz" vorgeschrieben.
Dazu können Sie das neue, kostenpflichtige EDV-Aufzeichnungsprogramm "ÖDüPlan online" verwenden. Mit ihm lassen sich alle wesentlichen Aufzeichnungen und Überprüfungen, die aufgrund der gesetzlichen Richtlinien des neuen GAP (Greening) und ÖPUL 2015 erforderlich sind einfach durchführen. Erreichbar unter folgendem Link: </t>
  </si>
  <si>
    <t>Teilnahme vorbeugender Grundwasserschutz GL in Salzburg</t>
  </si>
  <si>
    <t>mittel oder GW</t>
  </si>
  <si>
    <t>hoch oder GW</t>
  </si>
  <si>
    <t xml:space="preserve"> 10 -18</t>
  </si>
  <si>
    <t>´2 - 3</t>
  </si>
  <si>
    <r>
      <rPr>
        <b/>
        <sz val="14"/>
        <rFont val="Arial"/>
        <family val="2"/>
      </rPr>
      <t>Klee und Luzerne</t>
    </r>
    <r>
      <rPr>
        <sz val="14"/>
        <rFont val="Arial"/>
        <family val="2"/>
      </rPr>
      <t xml:space="preserve"> 
mehr als 90 % 
Leguminosen</t>
    </r>
  </si>
  <si>
    <r>
      <rPr>
        <b/>
        <sz val="14"/>
        <rFont val="Arial"/>
        <family val="2"/>
      </rPr>
      <t xml:space="preserve">Kleegras
</t>
    </r>
    <r>
      <rPr>
        <sz val="14"/>
        <rFont val="Arial"/>
        <family val="2"/>
      </rPr>
      <t>60 - 90 %
Leguminosenanteil</t>
    </r>
  </si>
  <si>
    <r>
      <rPr>
        <b/>
        <sz val="14"/>
        <rFont val="Arial"/>
        <family val="2"/>
      </rPr>
      <t xml:space="preserve">Wechselwiese und
Sonstiges Feldfutter </t>
    </r>
    <r>
      <rPr>
        <sz val="14"/>
        <rFont val="Arial"/>
        <family val="2"/>
      </rPr>
      <t xml:space="preserve"> 
40 bis 60 % 
Leguminosenanteil</t>
    </r>
  </si>
  <si>
    <r>
      <rPr>
        <b/>
        <sz val="14"/>
        <rFont val="Arial"/>
        <family val="2"/>
      </rPr>
      <t xml:space="preserve">Wechselwiese und
Sonstiges Feldfutter </t>
    </r>
    <r>
      <rPr>
        <sz val="14"/>
        <rFont val="Arial"/>
        <family val="2"/>
      </rPr>
      <t xml:space="preserve"> 
10 bis 40 % Leguminosenanteil</t>
    </r>
  </si>
  <si>
    <r>
      <rPr>
        <b/>
        <sz val="14"/>
        <rFont val="Arial"/>
        <family val="2"/>
      </rPr>
      <t xml:space="preserve">Energie- und
Futtergräser </t>
    </r>
    <r>
      <rPr>
        <sz val="14"/>
        <rFont val="Arial"/>
        <family val="2"/>
      </rPr>
      <t xml:space="preserve">
</t>
    </r>
    <r>
      <rPr>
        <sz val="12"/>
        <rFont val="Arial"/>
        <family val="2"/>
      </rPr>
      <t>&gt; 90% Futtergräser
&lt; 10% Leguminosenanteil</t>
    </r>
  </si>
  <si>
    <r>
      <rPr>
        <b/>
        <sz val="14"/>
        <rFont val="Arial"/>
        <family val="2"/>
      </rPr>
      <t>Grünland</t>
    </r>
    <r>
      <rPr>
        <sz val="14"/>
        <rFont val="Arial"/>
        <family val="2"/>
      </rPr>
      <t xml:space="preserve">
Mähwiesen und
Mähweiden
weniger als 40 % 
Leguminosenanteil</t>
    </r>
  </si>
  <si>
    <r>
      <rPr>
        <b/>
        <sz val="14"/>
        <rFont val="Arial"/>
        <family val="2"/>
      </rPr>
      <t>Grünland, kleereich</t>
    </r>
    <r>
      <rPr>
        <sz val="14"/>
        <rFont val="Arial"/>
        <family val="2"/>
      </rPr>
      <t xml:space="preserve">
Mähwiesen und
Mähweiden
mehr als  40 % Leguminosenanteil</t>
    </r>
  </si>
  <si>
    <t>Zuckerrübe lt. AP Nitrat 2012</t>
  </si>
  <si>
    <t>Speise- u. Industriekartoffeln AP Nitrat 12</t>
  </si>
  <si>
    <t>https://www.ama.at/Fachliche-Informationen/Oepul/Listen</t>
  </si>
  <si>
    <t>Die AMA hat auf www.ama.at ein Formular zur Berechnung 
des durchschnittlichen Tierbestandes zur Verfügung gestellt.</t>
  </si>
  <si>
    <t>siehe auch:</t>
  </si>
  <si>
    <t>&gt; 11,0</t>
  </si>
  <si>
    <t>&gt; 12,5</t>
  </si>
  <si>
    <t>&gt; 4,0</t>
  </si>
  <si>
    <t>Version vom 4. Mai 2017</t>
  </si>
  <si>
    <t>Schlagblatt</t>
  </si>
  <si>
    <t xml:space="preserve">Erntejahr:  </t>
  </si>
  <si>
    <t xml:space="preserve">Betriebsnummer:                                   </t>
  </si>
  <si>
    <t>Feldskizze</t>
  </si>
  <si>
    <t xml:space="preserve">Name:                                                    </t>
  </si>
  <si>
    <t xml:space="preserve">Adresse:                                             </t>
  </si>
  <si>
    <r>
      <t>Feldstücksbezeichnung</t>
    </r>
    <r>
      <rPr>
        <sz val="10"/>
        <rFont val="Arial"/>
        <family val="2"/>
      </rPr>
      <t xml:space="preserve">:                </t>
    </r>
  </si>
  <si>
    <r>
      <t>Feldstücksnummer</t>
    </r>
    <r>
      <rPr>
        <sz val="10"/>
        <rFont val="Arial"/>
        <family val="2"/>
      </rPr>
      <t>:</t>
    </r>
  </si>
  <si>
    <r>
      <t>Schlagnummer lt. MFA</t>
    </r>
    <r>
      <rPr>
        <sz val="10"/>
        <rFont val="Arial"/>
        <family val="2"/>
      </rPr>
      <t>:</t>
    </r>
  </si>
  <si>
    <r>
      <t>Nutzung bzw. Kultur lt. MFA</t>
    </r>
    <r>
      <rPr>
        <sz val="10"/>
        <rFont val="Arial"/>
        <family val="2"/>
      </rPr>
      <t xml:space="preserve">:  </t>
    </r>
  </si>
  <si>
    <r>
      <t>Schlaggröße</t>
    </r>
    <r>
      <rPr>
        <sz val="10"/>
        <rFont val="Arial"/>
        <family val="2"/>
      </rPr>
      <t>:</t>
    </r>
  </si>
  <si>
    <r>
      <t>Vorkultur</t>
    </r>
    <r>
      <rPr>
        <sz val="10"/>
        <rFont val="Arial"/>
        <family val="2"/>
      </rPr>
      <t>:</t>
    </r>
  </si>
  <si>
    <t>Laufende. Nr.</t>
  </si>
  <si>
    <t>Kulturart</t>
  </si>
  <si>
    <t>Sorte</t>
  </si>
  <si>
    <t>Fläche in ha:</t>
  </si>
  <si>
    <t>Aussaat / Pflanzung</t>
  </si>
  <si>
    <t>Ernte</t>
  </si>
  <si>
    <t>Ertragserwartung</t>
  </si>
  <si>
    <t>Beginn:</t>
  </si>
  <si>
    <t>Ende:</t>
  </si>
  <si>
    <t>hoch / hoch1</t>
  </si>
  <si>
    <t>hoch2</t>
  </si>
  <si>
    <t>Laufende Nr.</t>
  </si>
  <si>
    <r>
      <t>Pflanzenschutz</t>
    </r>
    <r>
      <rPr>
        <sz val="12"/>
        <rFont val="Arial"/>
        <family val="2"/>
      </rPr>
      <t xml:space="preserve"> </t>
    </r>
    <r>
      <rPr>
        <sz val="10"/>
        <rFont val="Arial"/>
        <family val="2"/>
      </rPr>
      <t>/ ha                                                                                     (biologische, mechanische und chemische Maßnahmen)</t>
    </r>
  </si>
  <si>
    <r>
      <t xml:space="preserve"> </t>
    </r>
    <r>
      <rPr>
        <b/>
        <sz val="10"/>
        <rFont val="Arial"/>
        <family val="2"/>
      </rPr>
      <t xml:space="preserve">Kontrollgänge, Warndienst, Schadschwelle </t>
    </r>
    <r>
      <rPr>
        <sz val="10"/>
        <rFont val="Arial"/>
        <family val="2"/>
      </rPr>
      <t>sonstige Aufzeichnungen z.B. Schadfaktoren für AMA Gütesiegel</t>
    </r>
  </si>
  <si>
    <r>
      <t>Beregnung</t>
    </r>
    <r>
      <rPr>
        <sz val="10"/>
        <rFont val="Arial"/>
        <family val="2"/>
      </rPr>
      <t xml:space="preserve"> 
 (nur für AMA - Gütesiegel)</t>
    </r>
  </si>
  <si>
    <t>Register Nummer</t>
  </si>
  <si>
    <t>Präparat/ Nützlinge + sonstige Maßnahmen</t>
  </si>
  <si>
    <t>Menge/
Konz.</t>
  </si>
  <si>
    <t>Warte-frist Tage</t>
  </si>
  <si>
    <t>Lfd. Nr.</t>
  </si>
  <si>
    <t>Menge l/m²</t>
  </si>
  <si>
    <r>
      <t>N</t>
    </r>
    <r>
      <rPr>
        <sz val="8"/>
        <rFont val="Arial"/>
        <family val="2"/>
      </rPr>
      <t>min</t>
    </r>
    <r>
      <rPr>
        <sz val="10"/>
        <rFont val="Arial"/>
        <family val="2"/>
      </rPr>
      <t>-Ergebnis</t>
    </r>
    <r>
      <rPr>
        <sz val="10"/>
        <rFont val="Arial"/>
        <family val="2"/>
      </rPr>
      <t xml:space="preserve"> vor + nach der Kultur</t>
    </r>
  </si>
  <si>
    <r>
      <t>Düngung</t>
    </r>
    <r>
      <rPr>
        <b/>
        <sz val="10"/>
        <rFont val="Arial"/>
        <family val="2"/>
      </rPr>
      <t xml:space="preserve"> / ha</t>
    </r>
  </si>
  <si>
    <t>lfd. Nr.</t>
  </si>
  <si>
    <t>Bodenuntersuchung</t>
  </si>
  <si>
    <t>kg/ha</t>
  </si>
  <si>
    <t>Düngemittel</t>
  </si>
  <si>
    <t>Menge (kg,t, m³,l)</t>
  </si>
  <si>
    <t>Nährstoffgehalt in kg / Einheit</t>
  </si>
  <si>
    <r>
      <t>N jw1</t>
    </r>
    <r>
      <rPr>
        <vertAlign val="superscript"/>
        <sz val="10"/>
        <rFont val="Arial"/>
        <family val="2"/>
      </rPr>
      <t>)</t>
    </r>
    <r>
      <rPr>
        <sz val="10"/>
        <rFont val="Arial"/>
        <family val="2"/>
      </rPr>
      <t>/ha</t>
    </r>
  </si>
  <si>
    <t>Datum:</t>
  </si>
  <si>
    <t>pH-Wert:</t>
  </si>
  <si>
    <r>
      <t>N jw</t>
    </r>
    <r>
      <rPr>
        <vertAlign val="superscript"/>
        <sz val="10"/>
        <rFont val="Arial"/>
        <family val="2"/>
      </rPr>
      <t>2)</t>
    </r>
  </si>
  <si>
    <r>
      <t>P</t>
    </r>
    <r>
      <rPr>
        <vertAlign val="subscript"/>
        <sz val="10"/>
        <rFont val="Arial"/>
        <family val="2"/>
      </rPr>
      <t>2</t>
    </r>
    <r>
      <rPr>
        <sz val="10"/>
        <rFont val="Arial"/>
        <family val="2"/>
      </rPr>
      <t>O</t>
    </r>
    <r>
      <rPr>
        <vertAlign val="subscript"/>
        <sz val="10"/>
        <rFont val="Arial"/>
        <family val="2"/>
      </rPr>
      <t>5</t>
    </r>
  </si>
  <si>
    <r>
      <t>K</t>
    </r>
    <r>
      <rPr>
        <vertAlign val="subscript"/>
        <sz val="10"/>
        <rFont val="Arial"/>
        <family val="2"/>
      </rPr>
      <t>2</t>
    </r>
    <r>
      <rPr>
        <sz val="10"/>
        <rFont val="Arial"/>
        <family val="2"/>
      </rPr>
      <t>O</t>
    </r>
  </si>
  <si>
    <t>C</t>
  </si>
  <si>
    <r>
      <t xml:space="preserve">   1)</t>
    </r>
    <r>
      <rPr>
        <sz val="10"/>
        <rFont val="Arial"/>
        <family val="2"/>
      </rPr>
      <t xml:space="preserve"> N </t>
    </r>
    <r>
      <rPr>
        <vertAlign val="subscript"/>
        <sz val="10"/>
        <rFont val="Arial"/>
        <family val="2"/>
      </rPr>
      <t>jw</t>
    </r>
    <r>
      <rPr>
        <sz val="10"/>
        <rFont val="Arial"/>
        <family val="2"/>
      </rPr>
      <t xml:space="preserve"> = jahreswirksamer Stickstoff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</si>
</sst>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 #,##0.00_-;\-&quot;€&quot;\ * #,##0.00_-;_-&quot;€&quot;\ * &quot;-&quot;??_-;_-@_-"/>
    <numFmt numFmtId="43" formatCode="_-* #,##0.00_-;\-* #,##0.00_-;_-* &quot;-&quot;??_-;_-@_-"/>
    <numFmt numFmtId="164" formatCode="#,##0.00\ ;\-#,##0.00\ ;&quot; -&quot;#\ ;@\ "/>
    <numFmt numFmtId="165" formatCode="* #,##0.00\ ;\-* #,##0.00\ ;* \-#\ ;@\ "/>
    <numFmt numFmtId="166" formatCode="0.0"/>
    <numFmt numFmtId="167" formatCode="#,##0.0"/>
    <numFmt numFmtId="168" formatCode="0.0%"/>
    <numFmt numFmtId="169" formatCode="#,##0.0\ ;\-#,##0.0\ ;&quot; -&quot;#\ ;@\ "/>
    <numFmt numFmtId="170" formatCode="* #,##0.0\ ;\-* #,##0.0\ ;* \-#\ ;@\ "/>
    <numFmt numFmtId="171" formatCode="dd/mm/yy;@"/>
    <numFmt numFmtId="172" formatCode="0.00&quot; ha&quot;"/>
    <numFmt numFmtId="173" formatCode="d/m/yyyy"/>
    <numFmt numFmtId="174" formatCode="#,##0.000"/>
    <numFmt numFmtId="175" formatCode="0.000"/>
    <numFmt numFmtId="176" formatCode="_-&quot;€ &quot;* #,##0.00_-;&quot;-€ &quot;* #,##0.00_-;_-&quot;€ &quot;* \-??_-;_-@_-"/>
    <numFmt numFmtId="177" formatCode="d/m;@"/>
    <numFmt numFmtId="178" formatCode="d/m"/>
    <numFmt numFmtId="179" formatCode="d/m/yy;@"/>
  </numFmts>
  <fonts count="197">
    <font>
      <sz val="1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0"/>
      <name val="Mangal"/>
      <family val="2"/>
    </font>
    <font>
      <sz val="11"/>
      <color indexed="60"/>
      <name val="Arial"/>
      <family val="2"/>
    </font>
    <font>
      <sz val="11"/>
      <color indexed="20"/>
      <name val="Arial"/>
      <family val="2"/>
    </font>
    <font>
      <sz val="11"/>
      <color indexed="8"/>
      <name val="Arial"/>
      <family val="2"/>
    </font>
    <font>
      <sz val="11"/>
      <color indexed="52"/>
      <name val="Arial"/>
      <family val="2"/>
    </font>
    <font>
      <sz val="11"/>
      <color indexed="10"/>
      <name val="Arial"/>
      <family val="2"/>
    </font>
    <font>
      <b/>
      <sz val="11"/>
      <color indexed="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2"/>
      <color indexed="8"/>
      <name val="Arial"/>
      <family val="2"/>
    </font>
    <font>
      <b/>
      <sz val="12"/>
      <color indexed="10"/>
      <name val="Arial"/>
      <family val="2"/>
    </font>
    <font>
      <sz val="8"/>
      <color indexed="10"/>
      <name val="Arial"/>
      <family val="2"/>
    </font>
    <font>
      <sz val="8"/>
      <name val="Arial"/>
      <family val="2"/>
    </font>
    <font>
      <b/>
      <sz val="11"/>
      <name val="Arial"/>
      <family val="2"/>
    </font>
    <font>
      <b/>
      <sz val="10"/>
      <name val="Arial"/>
      <family val="2"/>
    </font>
    <font>
      <sz val="9"/>
      <color indexed="8"/>
      <name val="Arial"/>
      <family val="2"/>
    </font>
    <font>
      <sz val="10"/>
      <color indexed="8"/>
      <name val="Arial"/>
      <family val="2"/>
    </font>
    <font>
      <b/>
      <vertAlign val="subscript"/>
      <sz val="11"/>
      <name val="Trebuchet MS"/>
      <family val="2"/>
    </font>
    <font>
      <b/>
      <sz val="11"/>
      <name val="Trebuchet MS"/>
      <family val="2"/>
    </font>
    <font>
      <sz val="9"/>
      <name val="Arial"/>
      <family val="2"/>
    </font>
    <font>
      <sz val="11"/>
      <color indexed="48"/>
      <name val="Arial"/>
      <family val="2"/>
    </font>
    <font>
      <b/>
      <sz val="10"/>
      <color indexed="12"/>
      <name val="Arial"/>
      <family val="2"/>
    </font>
    <font>
      <b/>
      <sz val="12"/>
      <color indexed="12"/>
      <name val="Arial"/>
      <family val="2"/>
    </font>
    <font>
      <b/>
      <sz val="12"/>
      <name val="Arial"/>
      <family val="2"/>
    </font>
    <font>
      <sz val="11"/>
      <name val="Arial"/>
      <family val="2"/>
    </font>
    <font>
      <sz val="12"/>
      <name val="Arial"/>
      <family val="2"/>
    </font>
    <font>
      <b/>
      <sz val="11"/>
      <color indexed="10"/>
      <name val="Arial"/>
      <family val="2"/>
    </font>
    <font>
      <b/>
      <sz val="9"/>
      <name val="Arial"/>
      <family val="2"/>
    </font>
    <font>
      <sz val="11"/>
      <name val="Trebuchet MS"/>
      <family val="2"/>
    </font>
    <font>
      <i/>
      <sz val="10"/>
      <name val="Arial"/>
      <family val="2"/>
    </font>
    <font>
      <b/>
      <u/>
      <sz val="12"/>
      <color indexed="8"/>
      <name val="Arial"/>
      <family val="2"/>
    </font>
    <font>
      <b/>
      <sz val="20"/>
      <name val="Arial"/>
      <family val="2"/>
    </font>
    <font>
      <sz val="14"/>
      <name val="Arial"/>
      <family val="2"/>
    </font>
    <font>
      <b/>
      <sz val="14"/>
      <name val="Arial"/>
      <family val="2"/>
    </font>
    <font>
      <b/>
      <sz val="60"/>
      <color indexed="21"/>
      <name val="Calibri"/>
      <family val="2"/>
    </font>
    <font>
      <sz val="48"/>
      <color indexed="12"/>
      <name val="Arial"/>
      <family val="2"/>
    </font>
    <font>
      <u/>
      <sz val="10"/>
      <color indexed="12"/>
      <name val="Arial"/>
      <family val="2"/>
    </font>
    <font>
      <u/>
      <sz val="18"/>
      <color indexed="12"/>
      <name val="Arial"/>
      <family val="2"/>
    </font>
    <font>
      <b/>
      <sz val="16"/>
      <name val="Arial"/>
      <family val="2"/>
    </font>
    <font>
      <sz val="16"/>
      <name val="Arial"/>
      <family val="2"/>
    </font>
    <font>
      <sz val="14"/>
      <color indexed="8"/>
      <name val="Arial"/>
      <family val="2"/>
    </font>
    <font>
      <b/>
      <sz val="14"/>
      <color indexed="8"/>
      <name val="Arial"/>
      <family val="2"/>
    </font>
    <font>
      <sz val="12"/>
      <color indexed="8"/>
      <name val="Arial"/>
      <family val="2"/>
    </font>
    <font>
      <u/>
      <sz val="12"/>
      <color indexed="12"/>
      <name val="Arial"/>
      <family val="2"/>
    </font>
    <font>
      <b/>
      <sz val="22"/>
      <name val="Arial"/>
      <family val="2"/>
    </font>
    <font>
      <sz val="36"/>
      <color indexed="12"/>
      <name val="Arial"/>
      <family val="2"/>
    </font>
    <font>
      <b/>
      <sz val="10"/>
      <color indexed="8"/>
      <name val="Arial"/>
      <family val="2"/>
    </font>
    <font>
      <b/>
      <u/>
      <sz val="10"/>
      <color indexed="12"/>
      <name val="Arial"/>
      <family val="2"/>
    </font>
    <font>
      <b/>
      <sz val="18"/>
      <name val="Arial"/>
      <family val="2"/>
    </font>
    <font>
      <sz val="20"/>
      <color indexed="12"/>
      <name val="Arial"/>
      <family val="2"/>
    </font>
    <font>
      <sz val="12"/>
      <color indexed="10"/>
      <name val="Arial"/>
      <family val="2"/>
    </font>
    <font>
      <b/>
      <sz val="9"/>
      <color indexed="8"/>
      <name val="Arial"/>
      <family val="2"/>
    </font>
    <font>
      <b/>
      <sz val="9"/>
      <name val="Trebuchet MS"/>
      <family val="2"/>
    </font>
    <font>
      <b/>
      <vertAlign val="subscript"/>
      <sz val="9"/>
      <name val="Trebuchet MS"/>
      <family val="2"/>
    </font>
    <font>
      <b/>
      <sz val="9"/>
      <color indexed="12"/>
      <name val="Arial"/>
      <family val="2"/>
    </font>
    <font>
      <b/>
      <sz val="9"/>
      <color indexed="10"/>
      <name val="Arial"/>
      <family val="2"/>
    </font>
    <font>
      <b/>
      <sz val="8"/>
      <name val="Arial"/>
      <family val="2"/>
    </font>
    <font>
      <b/>
      <vertAlign val="subscript"/>
      <sz val="9"/>
      <name val="Arial"/>
      <family val="2"/>
    </font>
    <font>
      <b/>
      <sz val="14"/>
      <color indexed="10"/>
      <name val="Arial"/>
      <family val="2"/>
    </font>
    <font>
      <sz val="9"/>
      <color indexed="10"/>
      <name val="Arial"/>
      <family val="2"/>
    </font>
    <font>
      <vertAlign val="subscript"/>
      <sz val="8"/>
      <name val="Arial"/>
      <family val="2"/>
    </font>
    <font>
      <b/>
      <sz val="11"/>
      <color indexed="12"/>
      <name val="Arial"/>
      <family val="2"/>
    </font>
    <font>
      <b/>
      <sz val="10"/>
      <color indexed="10"/>
      <name val="Arial"/>
      <family val="2"/>
    </font>
    <font>
      <sz val="9"/>
      <name val="Times New Roman"/>
      <family val="1"/>
    </font>
    <font>
      <sz val="7"/>
      <name val="Arial"/>
      <family val="2"/>
    </font>
    <font>
      <b/>
      <sz val="16"/>
      <color indexed="8"/>
      <name val="Arial"/>
      <family val="2"/>
    </font>
    <font>
      <b/>
      <sz val="14"/>
      <color indexed="12"/>
      <name val="Arial"/>
      <family val="2"/>
    </font>
    <font>
      <sz val="16"/>
      <color indexed="12"/>
      <name val="Arial"/>
      <family val="2"/>
    </font>
    <font>
      <sz val="18"/>
      <color indexed="12"/>
      <name val="Arial"/>
      <family val="2"/>
    </font>
    <font>
      <vertAlign val="subscript"/>
      <sz val="11"/>
      <color indexed="8"/>
      <name val="Arial"/>
      <family val="2"/>
    </font>
    <font>
      <vertAlign val="subscript"/>
      <sz val="12"/>
      <color indexed="8"/>
      <name val="Arial"/>
      <family val="2"/>
    </font>
    <font>
      <sz val="12"/>
      <color indexed="8"/>
      <name val="Profile-RegularItalic"/>
      <family val="4"/>
    </font>
    <font>
      <sz val="10"/>
      <color indexed="10"/>
      <name val="Arial"/>
      <family val="2"/>
    </font>
    <font>
      <vertAlign val="subscript"/>
      <sz val="10"/>
      <color indexed="8"/>
      <name val="Arial"/>
      <family val="2"/>
    </font>
    <font>
      <b/>
      <vertAlign val="subscript"/>
      <sz val="10"/>
      <color indexed="8"/>
      <name val="Arial"/>
      <family val="2"/>
    </font>
    <font>
      <vertAlign val="subscript"/>
      <sz val="14"/>
      <color indexed="10"/>
      <name val="Arial"/>
      <family val="2"/>
    </font>
    <font>
      <b/>
      <sz val="16"/>
      <color indexed="12"/>
      <name val="Arial"/>
      <family val="2"/>
    </font>
    <font>
      <sz val="28"/>
      <color indexed="12"/>
      <name val="Arial"/>
      <family val="2"/>
    </font>
    <font>
      <sz val="8"/>
      <color indexed="8"/>
      <name val="Arial"/>
      <family val="2"/>
    </font>
    <font>
      <b/>
      <vertAlign val="subscript"/>
      <sz val="14"/>
      <name val="Arial"/>
      <family val="2"/>
    </font>
    <font>
      <b/>
      <vertAlign val="subscript"/>
      <sz val="10"/>
      <name val="Arial"/>
      <family val="2"/>
    </font>
    <font>
      <b/>
      <vertAlign val="subscript"/>
      <sz val="8"/>
      <name val="Arial"/>
      <family val="2"/>
    </font>
    <font>
      <b/>
      <vertAlign val="superscript"/>
      <sz val="10"/>
      <color indexed="10"/>
      <name val="Arial"/>
      <family val="2"/>
    </font>
    <font>
      <sz val="14"/>
      <color indexed="10"/>
      <name val="Arial"/>
      <family val="2"/>
    </font>
    <font>
      <u/>
      <sz val="9"/>
      <name val="Arial"/>
      <family val="2"/>
    </font>
    <font>
      <vertAlign val="superscript"/>
      <sz val="10"/>
      <color indexed="8"/>
      <name val="Arial"/>
      <family val="2"/>
    </font>
    <font>
      <vertAlign val="subscript"/>
      <sz val="10"/>
      <name val="Arial"/>
      <family val="2"/>
    </font>
    <font>
      <sz val="22"/>
      <color indexed="12"/>
      <name val="Arial"/>
      <family val="2"/>
    </font>
    <font>
      <b/>
      <sz val="8"/>
      <color indexed="12"/>
      <name val="Arial"/>
      <family val="2"/>
    </font>
    <font>
      <sz val="10"/>
      <color indexed="12"/>
      <name val="Arial"/>
      <family val="2"/>
    </font>
    <font>
      <vertAlign val="subscript"/>
      <sz val="9"/>
      <name val="Arial"/>
      <family val="2"/>
    </font>
    <font>
      <sz val="11"/>
      <color indexed="12"/>
      <name val="Arial"/>
      <family val="2"/>
    </font>
    <font>
      <sz val="12"/>
      <color indexed="12"/>
      <name val="Arial"/>
      <family val="2"/>
    </font>
    <font>
      <b/>
      <sz val="8"/>
      <color indexed="8"/>
      <name val="Arial"/>
      <family val="2"/>
    </font>
    <font>
      <b/>
      <sz val="15"/>
      <name val="Arial"/>
      <family val="2"/>
    </font>
    <font>
      <sz val="8"/>
      <color indexed="23"/>
      <name val="Arial"/>
      <family val="2"/>
    </font>
    <font>
      <sz val="6"/>
      <color indexed="23"/>
      <name val="Arial"/>
      <family val="2"/>
    </font>
    <font>
      <b/>
      <sz val="12"/>
      <color indexed="60"/>
      <name val="Arial"/>
      <family val="2"/>
    </font>
    <font>
      <b/>
      <sz val="12"/>
      <color indexed="62"/>
      <name val="Arial"/>
      <family val="2"/>
    </font>
    <font>
      <vertAlign val="subscript"/>
      <sz val="14"/>
      <name val="Arial"/>
      <family val="2"/>
    </font>
    <font>
      <i/>
      <sz val="11"/>
      <name val="Arial"/>
      <family val="2"/>
    </font>
    <font>
      <vertAlign val="subscript"/>
      <sz val="12"/>
      <name val="Arial"/>
      <family val="2"/>
    </font>
    <font>
      <sz val="8"/>
      <color indexed="8"/>
      <name val="Tahoma"/>
      <family val="2"/>
    </font>
    <font>
      <b/>
      <sz val="48"/>
      <color indexed="21"/>
      <name val="Calibri"/>
      <family val="2"/>
    </font>
    <font>
      <b/>
      <sz val="36"/>
      <color indexed="21"/>
      <name val="Calibri"/>
      <family val="2"/>
    </font>
    <font>
      <sz val="24"/>
      <color indexed="12"/>
      <name val="Arial"/>
      <family val="2"/>
    </font>
    <font>
      <b/>
      <sz val="10"/>
      <name val="Mangal"/>
      <family val="1"/>
    </font>
    <font>
      <b/>
      <sz val="24"/>
      <color indexed="12"/>
      <name val="Arial"/>
      <family val="2"/>
    </font>
    <font>
      <b/>
      <vertAlign val="superscript"/>
      <sz val="11"/>
      <name val="Arial"/>
      <family val="2"/>
    </font>
    <font>
      <b/>
      <vertAlign val="superscript"/>
      <sz val="12"/>
      <name val="Arial"/>
      <family val="2"/>
    </font>
    <font>
      <b/>
      <sz val="7"/>
      <name val="Arial"/>
      <family val="2"/>
    </font>
    <font>
      <b/>
      <i/>
      <sz val="7"/>
      <name val="Arial"/>
      <family val="2"/>
    </font>
    <font>
      <b/>
      <i/>
      <sz val="12"/>
      <name val="Arial"/>
      <family val="2"/>
    </font>
    <font>
      <b/>
      <vertAlign val="superscript"/>
      <sz val="10"/>
      <name val="Arial"/>
      <family val="2"/>
    </font>
    <font>
      <sz val="10"/>
      <name val="Trebuchet MS"/>
      <family val="2"/>
    </font>
    <font>
      <sz val="10"/>
      <name val="Arial"/>
      <family val="2"/>
    </font>
    <font>
      <b/>
      <sz val="10"/>
      <color theme="0" tint="-0.499984740745262"/>
      <name val="Arial"/>
      <family val="2"/>
    </font>
    <font>
      <b/>
      <sz val="11"/>
      <color theme="0" tint="-0.499984740745262"/>
      <name val="Arial"/>
      <family val="2"/>
    </font>
    <font>
      <sz val="10"/>
      <color theme="0" tint="-0.499984740745262"/>
      <name val="Arial"/>
      <family val="2"/>
    </font>
    <font>
      <b/>
      <sz val="14"/>
      <color theme="0" tint="-0.499984740745262"/>
      <name val="Arial"/>
      <family val="2"/>
    </font>
    <font>
      <b/>
      <sz val="12"/>
      <color theme="0" tint="-0.499984740745262"/>
      <name val="Arial"/>
      <family val="2"/>
    </font>
    <font>
      <b/>
      <vertAlign val="subscript"/>
      <sz val="10"/>
      <color theme="0" tint="-0.499984740745262"/>
      <name val="Arial"/>
      <family val="2"/>
    </font>
    <font>
      <b/>
      <sz val="12"/>
      <color rgb="FF3366FF"/>
      <name val="Arial"/>
      <family val="2"/>
    </font>
    <font>
      <sz val="10"/>
      <color rgb="FF3366FF"/>
      <name val="Arial"/>
      <family val="2"/>
    </font>
    <font>
      <b/>
      <sz val="12"/>
      <color rgb="FFFF6600"/>
      <name val="Arial"/>
      <family val="2"/>
    </font>
    <font>
      <b/>
      <sz val="11"/>
      <color rgb="FF3366FF"/>
      <name val="Arial"/>
      <family val="2"/>
    </font>
    <font>
      <b/>
      <sz val="18"/>
      <name val="Arial"/>
      <family val="2"/>
      <charset val="1"/>
    </font>
    <font>
      <b/>
      <sz val="11"/>
      <color rgb="FF0000FF"/>
      <name val="Arial"/>
      <family val="2"/>
    </font>
    <font>
      <sz val="9"/>
      <color rgb="FFFF0000"/>
      <name val="Arial"/>
      <family val="2"/>
    </font>
    <font>
      <sz val="10"/>
      <color rgb="FF0000FF"/>
      <name val="Arial"/>
      <family val="2"/>
    </font>
    <font>
      <b/>
      <sz val="14"/>
      <color rgb="FF008000"/>
      <name val="Arial"/>
      <family val="2"/>
    </font>
    <font>
      <sz val="11"/>
      <color rgb="FF0000FF"/>
      <name val="Arial"/>
      <family val="2"/>
    </font>
    <font>
      <sz val="8"/>
      <color rgb="FFFF0000"/>
      <name val="Arial"/>
      <family val="2"/>
    </font>
    <font>
      <sz val="13"/>
      <color rgb="FFFF0000"/>
      <name val="Arial"/>
      <family val="2"/>
    </font>
    <font>
      <b/>
      <sz val="10"/>
      <color rgb="FFFF0000"/>
      <name val="Arial"/>
      <family val="2"/>
    </font>
    <font>
      <sz val="12"/>
      <color rgb="FFFF0000"/>
      <name val="Arial"/>
      <family val="2"/>
    </font>
    <font>
      <b/>
      <u/>
      <sz val="9"/>
      <name val="Arial"/>
      <family val="2"/>
    </font>
    <font>
      <b/>
      <u/>
      <sz val="14"/>
      <color indexed="62"/>
      <name val="Arial"/>
      <family val="2"/>
    </font>
    <font>
      <b/>
      <u/>
      <sz val="14"/>
      <name val="Arial"/>
      <family val="2"/>
    </font>
    <font>
      <b/>
      <sz val="10"/>
      <color indexed="17"/>
      <name val="Arial"/>
      <family val="2"/>
    </font>
    <font>
      <sz val="14"/>
      <color rgb="FF3333FF"/>
      <name val="Arial"/>
      <family val="2"/>
    </font>
    <font>
      <b/>
      <sz val="10"/>
      <color rgb="FF3333FF"/>
      <name val="Arial"/>
      <family val="2"/>
    </font>
    <font>
      <b/>
      <sz val="11"/>
      <color rgb="FF3333FF"/>
      <name val="Arial"/>
      <family val="2"/>
    </font>
    <font>
      <b/>
      <sz val="18"/>
      <color rgb="FF000000"/>
      <name val="Arial"/>
      <family val="2"/>
    </font>
    <font>
      <b/>
      <sz val="11"/>
      <color rgb="FF000000"/>
      <name val="Arial"/>
      <family val="2"/>
    </font>
    <font>
      <b/>
      <sz val="14"/>
      <color rgb="FF000000"/>
      <name val="Arial"/>
      <family val="2"/>
    </font>
    <font>
      <sz val="11"/>
      <color rgb="FF000000"/>
      <name val="Arial"/>
      <family val="2"/>
    </font>
    <font>
      <b/>
      <sz val="16"/>
      <color rgb="FF000000"/>
      <name val="Arial"/>
      <family val="2"/>
    </font>
    <font>
      <sz val="11"/>
      <name val="Symbol"/>
      <family val="1"/>
      <charset val="2"/>
    </font>
    <font>
      <sz val="7"/>
      <name val="Times New Roman"/>
      <family val="1"/>
    </font>
    <font>
      <b/>
      <sz val="14"/>
      <name val="Calibri"/>
      <family val="2"/>
    </font>
    <font>
      <b/>
      <sz val="16"/>
      <name val="Calibri"/>
      <family val="2"/>
    </font>
    <font>
      <b/>
      <sz val="14"/>
      <name val="Symbol"/>
      <family val="1"/>
      <charset val="2"/>
    </font>
    <font>
      <b/>
      <sz val="10"/>
      <color rgb="FF000000"/>
      <name val="Arial"/>
      <family val="2"/>
    </font>
    <font>
      <b/>
      <sz val="12"/>
      <color rgb="FF3333FF"/>
      <name val="Arial"/>
      <family val="2"/>
    </font>
    <font>
      <b/>
      <sz val="12"/>
      <color rgb="FFFF0000"/>
      <name val="Arial"/>
      <family val="2"/>
    </font>
    <font>
      <b/>
      <sz val="12"/>
      <name val="Arial"/>
      <family val="2"/>
      <charset val="1"/>
    </font>
    <font>
      <b/>
      <sz val="14"/>
      <name val="Arial"/>
      <family val="2"/>
      <charset val="1"/>
    </font>
    <font>
      <sz val="11"/>
      <color rgb="FFFF0000"/>
      <name val="Arial"/>
      <family val="2"/>
    </font>
    <font>
      <b/>
      <sz val="11"/>
      <color indexed="81"/>
      <name val="Tahoma"/>
      <family val="2"/>
    </font>
    <font>
      <sz val="11"/>
      <color indexed="81"/>
      <name val="Tahoma"/>
      <family val="2"/>
    </font>
    <font>
      <b/>
      <sz val="11"/>
      <color rgb="FFFF0000"/>
      <name val="Arial"/>
      <family val="2"/>
    </font>
    <font>
      <sz val="10"/>
      <color indexed="81"/>
      <name val="Tahoma"/>
      <family val="2"/>
    </font>
    <font>
      <sz val="8"/>
      <color indexed="81"/>
      <name val="Tahoma"/>
      <family val="2"/>
    </font>
    <font>
      <sz val="10"/>
      <name val="Arial"/>
      <family val="2"/>
      <charset val="1"/>
    </font>
    <font>
      <vertAlign val="superscript"/>
      <sz val="10"/>
      <name val="Arial"/>
      <family val="2"/>
    </font>
    <font>
      <sz val="14"/>
      <color theme="1"/>
      <name val="Arial"/>
      <family val="2"/>
    </font>
    <font>
      <vertAlign val="superscript"/>
      <sz val="11"/>
      <name val="Arial"/>
      <family val="2"/>
    </font>
    <font>
      <b/>
      <u/>
      <sz val="14"/>
      <color rgb="FF3333FF"/>
      <name val="Arial"/>
      <family val="2"/>
    </font>
    <font>
      <u/>
      <sz val="10"/>
      <color rgb="FF0000FF"/>
      <name val="Arial"/>
      <family val="2"/>
      <charset val="1"/>
    </font>
    <font>
      <sz val="10"/>
      <name val="Mangal"/>
      <family val="2"/>
      <charset val="1"/>
    </font>
    <font>
      <b/>
      <sz val="11"/>
      <color rgb="FF333399"/>
      <name val="Arial"/>
      <family val="2"/>
      <charset val="1"/>
    </font>
    <font>
      <sz val="14"/>
      <name val="Arial"/>
      <family val="2"/>
      <charset val="1"/>
    </font>
    <font>
      <sz val="12"/>
      <name val="Arial"/>
      <family val="2"/>
      <charset val="1"/>
    </font>
    <font>
      <sz val="10"/>
      <name val="Arial"/>
    </font>
    <font>
      <b/>
      <sz val="26"/>
      <name val="Arial"/>
      <family val="2"/>
    </font>
    <font>
      <sz val="26"/>
      <name val="Arial"/>
      <family val="2"/>
    </font>
    <font>
      <b/>
      <sz val="28"/>
      <name val="Arial"/>
      <family val="2"/>
    </font>
    <font>
      <b/>
      <u/>
      <sz val="10"/>
      <name val="Arial"/>
      <family val="2"/>
    </font>
    <font>
      <sz val="8"/>
      <name val="Arial"/>
    </font>
    <font>
      <sz val="9"/>
      <name val="Arial"/>
    </font>
    <font>
      <sz val="10"/>
      <name val="Lucida Handwriting"/>
      <family val="4"/>
    </font>
    <font>
      <sz val="11"/>
      <name val="Arial"/>
    </font>
  </fonts>
  <fills count="94">
    <fill>
      <patternFill patternType="none"/>
    </fill>
    <fill>
      <patternFill patternType="gray125"/>
    </fill>
    <fill>
      <patternFill patternType="solid">
        <fgColor indexed="49"/>
        <bgColor indexed="57"/>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4"/>
        <bgColor indexed="24"/>
      </patternFill>
    </fill>
    <fill>
      <patternFill patternType="solid">
        <fgColor indexed="13"/>
        <bgColor indexed="51"/>
      </patternFill>
    </fill>
    <fill>
      <patternFill patternType="solid">
        <fgColor indexed="27"/>
        <bgColor indexed="41"/>
      </patternFill>
    </fill>
    <fill>
      <patternFill patternType="solid">
        <fgColor indexed="26"/>
        <bgColor indexed="16"/>
      </patternFill>
    </fill>
    <fill>
      <patternFill patternType="solid">
        <fgColor indexed="14"/>
        <bgColor indexed="20"/>
      </patternFill>
    </fill>
    <fill>
      <patternFill patternType="solid">
        <fgColor indexed="55"/>
        <bgColor indexed="23"/>
      </patternFill>
    </fill>
    <fill>
      <patternFill patternType="solid">
        <fgColor indexed="42"/>
        <bgColor indexed="15"/>
      </patternFill>
    </fill>
    <fill>
      <patternFill patternType="solid">
        <fgColor indexed="22"/>
        <bgColor indexed="46"/>
      </patternFill>
    </fill>
    <fill>
      <patternFill patternType="solid">
        <fgColor indexed="24"/>
        <bgColor indexed="44"/>
      </patternFill>
    </fill>
    <fill>
      <patternFill patternType="solid">
        <fgColor indexed="9"/>
        <bgColor indexed="28"/>
      </patternFill>
    </fill>
    <fill>
      <patternFill patternType="solid">
        <fgColor indexed="50"/>
        <bgColor indexed="19"/>
      </patternFill>
    </fill>
    <fill>
      <patternFill patternType="solid">
        <fgColor indexed="56"/>
        <bgColor indexed="59"/>
      </patternFill>
    </fill>
    <fill>
      <patternFill patternType="solid">
        <fgColor indexed="61"/>
        <bgColor indexed="38"/>
      </patternFill>
    </fill>
    <fill>
      <patternFill patternType="solid">
        <fgColor indexed="31"/>
        <bgColor indexed="61"/>
      </patternFill>
    </fill>
    <fill>
      <patternFill patternType="solid">
        <fgColor indexed="45"/>
        <bgColor indexed="29"/>
      </patternFill>
    </fill>
    <fill>
      <patternFill patternType="solid">
        <fgColor indexed="40"/>
        <bgColor indexed="41"/>
      </patternFill>
    </fill>
    <fill>
      <patternFill patternType="solid">
        <fgColor indexed="47"/>
        <bgColor indexed="33"/>
      </patternFill>
    </fill>
    <fill>
      <patternFill patternType="solid">
        <fgColor indexed="38"/>
        <bgColor indexed="61"/>
      </patternFill>
    </fill>
    <fill>
      <patternFill patternType="solid">
        <fgColor indexed="46"/>
        <bgColor indexed="22"/>
      </patternFill>
    </fill>
    <fill>
      <patternFill patternType="solid">
        <fgColor indexed="29"/>
        <bgColor indexed="33"/>
      </patternFill>
    </fill>
    <fill>
      <patternFill patternType="solid">
        <fgColor indexed="41"/>
        <bgColor indexed="35"/>
      </patternFill>
    </fill>
    <fill>
      <patternFill patternType="solid">
        <fgColor indexed="43"/>
        <bgColor indexed="26"/>
      </patternFill>
    </fill>
    <fill>
      <patternFill patternType="solid">
        <fgColor indexed="25"/>
        <bgColor indexed="61"/>
      </patternFill>
    </fill>
    <fill>
      <patternFill patternType="solid">
        <fgColor indexed="59"/>
        <bgColor indexed="56"/>
      </patternFill>
    </fill>
    <fill>
      <patternFill patternType="solid">
        <fgColor indexed="36"/>
        <bgColor indexed="59"/>
      </patternFill>
    </fill>
    <fill>
      <patternFill patternType="solid">
        <fgColor indexed="30"/>
        <bgColor indexed="38"/>
      </patternFill>
    </fill>
    <fill>
      <patternFill patternType="solid">
        <fgColor indexed="28"/>
        <bgColor indexed="56"/>
      </patternFill>
    </fill>
    <fill>
      <patternFill patternType="solid">
        <fgColor indexed="33"/>
        <bgColor indexed="29"/>
      </patternFill>
    </fill>
    <fill>
      <patternFill patternType="solid">
        <fgColor indexed="11"/>
        <bgColor indexed="25"/>
      </patternFill>
    </fill>
    <fill>
      <patternFill patternType="solid">
        <fgColor indexed="35"/>
        <bgColor indexed="41"/>
      </patternFill>
    </fill>
    <fill>
      <patternFill patternType="solid">
        <fgColor indexed="19"/>
        <bgColor indexed="11"/>
      </patternFill>
    </fill>
    <fill>
      <patternFill patternType="solid">
        <fgColor rgb="FFCCFFCC"/>
        <bgColor indexed="15"/>
      </patternFill>
    </fill>
    <fill>
      <patternFill patternType="solid">
        <fgColor theme="0" tint="-0.14999847407452621"/>
        <bgColor indexed="64"/>
      </patternFill>
    </fill>
    <fill>
      <patternFill patternType="solid">
        <fgColor rgb="FFCCFFCC"/>
        <bgColor indexed="64"/>
      </patternFill>
    </fill>
    <fill>
      <patternFill patternType="solid">
        <fgColor theme="0" tint="-0.14999847407452621"/>
        <bgColor indexed="22"/>
      </patternFill>
    </fill>
    <fill>
      <patternFill patternType="solid">
        <fgColor theme="0" tint="-0.14999847407452621"/>
        <bgColor indexed="38"/>
      </patternFill>
    </fill>
    <fill>
      <patternFill patternType="solid">
        <fgColor theme="0" tint="-0.14999847407452621"/>
        <bgColor indexed="31"/>
      </patternFill>
    </fill>
    <fill>
      <patternFill patternType="solid">
        <fgColor indexed="42"/>
        <bgColor indexed="27"/>
      </patternFill>
    </fill>
    <fill>
      <patternFill patternType="solid">
        <fgColor rgb="FFFFC000"/>
        <bgColor indexed="64"/>
      </patternFill>
    </fill>
    <fill>
      <patternFill patternType="solid">
        <fgColor rgb="FFCCFFFF"/>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CCFF99"/>
        <bgColor indexed="64"/>
      </patternFill>
    </fill>
    <fill>
      <patternFill patternType="solid">
        <fgColor indexed="16"/>
        <bgColor indexed="56"/>
      </patternFill>
    </fill>
    <fill>
      <patternFill patternType="solid">
        <fgColor indexed="9"/>
        <bgColor indexed="58"/>
      </patternFill>
    </fill>
    <fill>
      <patternFill patternType="solid">
        <fgColor theme="0" tint="-0.249977111117893"/>
        <bgColor indexed="64"/>
      </patternFill>
    </fill>
    <fill>
      <patternFill patternType="solid">
        <fgColor theme="0" tint="-4.9989318521683403E-2"/>
        <bgColor indexed="64"/>
      </patternFill>
    </fill>
    <fill>
      <patternFill patternType="solid">
        <fgColor rgb="FF99FF99"/>
        <bgColor indexed="64"/>
      </patternFill>
    </fill>
    <fill>
      <patternFill patternType="solid">
        <fgColor theme="0" tint="-0.14999847407452621"/>
        <bgColor indexed="33"/>
      </patternFill>
    </fill>
    <fill>
      <patternFill patternType="solid">
        <fgColor theme="0" tint="-0.499984740745262"/>
        <bgColor indexed="64"/>
      </patternFill>
    </fill>
    <fill>
      <patternFill patternType="solid">
        <fgColor theme="0" tint="-0.499984740745262"/>
        <bgColor indexed="46"/>
      </patternFill>
    </fill>
    <fill>
      <patternFill patternType="solid">
        <fgColor theme="8" tint="0.79998168889431442"/>
        <bgColor indexed="64"/>
      </patternFill>
    </fill>
    <fill>
      <patternFill patternType="solid">
        <fgColor theme="0" tint="-4.9989318521683403E-2"/>
        <bgColor indexed="61"/>
      </patternFill>
    </fill>
    <fill>
      <patternFill patternType="solid">
        <fgColor theme="6" tint="0.79998168889431442"/>
        <bgColor indexed="33"/>
      </patternFill>
    </fill>
    <fill>
      <patternFill patternType="solid">
        <fgColor theme="6" tint="0.79998168889431442"/>
        <bgColor indexed="64"/>
      </patternFill>
    </fill>
    <fill>
      <patternFill patternType="solid">
        <fgColor theme="0" tint="-0.249977111117893"/>
        <bgColor indexed="28"/>
      </patternFill>
    </fill>
    <fill>
      <patternFill patternType="solid">
        <fgColor rgb="FFFFFF00"/>
        <bgColor indexed="64"/>
      </patternFill>
    </fill>
    <fill>
      <patternFill patternType="solid">
        <fgColor rgb="FFFFFFFF"/>
        <bgColor indexed="64"/>
      </patternFill>
    </fill>
    <fill>
      <patternFill patternType="solid">
        <fgColor theme="6" tint="0.39997558519241921"/>
        <bgColor indexed="30"/>
      </patternFill>
    </fill>
    <fill>
      <patternFill patternType="solid">
        <fgColor theme="2" tint="-0.249977111117893"/>
        <bgColor indexed="38"/>
      </patternFill>
    </fill>
    <fill>
      <patternFill patternType="solid">
        <fgColor theme="6" tint="0.39997558519241921"/>
        <bgColor indexed="61"/>
      </patternFill>
    </fill>
    <fill>
      <patternFill patternType="solid">
        <fgColor theme="6" tint="0.59999389629810485"/>
        <bgColor indexed="16"/>
      </patternFill>
    </fill>
    <fill>
      <patternFill patternType="solid">
        <fgColor theme="6" tint="0.39997558519241921"/>
        <bgColor indexed="16"/>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46"/>
      </patternFill>
    </fill>
    <fill>
      <patternFill patternType="solid">
        <fgColor theme="0" tint="-0.14999847407452621"/>
        <bgColor indexed="41"/>
      </patternFill>
    </fill>
    <fill>
      <patternFill patternType="solid">
        <fgColor theme="9" tint="0.59999389629810485"/>
        <bgColor indexed="64"/>
      </patternFill>
    </fill>
    <fill>
      <patternFill patternType="solid">
        <fgColor indexed="27"/>
        <bgColor indexed="42"/>
      </patternFill>
    </fill>
    <fill>
      <patternFill patternType="solid">
        <fgColor theme="0"/>
        <bgColor indexed="64"/>
      </patternFill>
    </fill>
    <fill>
      <patternFill patternType="solid">
        <fgColor theme="5" tint="0.79998168889431442"/>
        <bgColor indexed="56"/>
      </patternFill>
    </fill>
    <fill>
      <patternFill patternType="solid">
        <fgColor theme="2" tint="-9.9978637043366805E-2"/>
        <bgColor indexed="59"/>
      </patternFill>
    </fill>
    <fill>
      <patternFill patternType="solid">
        <fgColor theme="9"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39997558519241921"/>
        <bgColor indexed="25"/>
      </patternFill>
    </fill>
    <fill>
      <patternFill patternType="solid">
        <fgColor rgb="FFFFFFCC"/>
        <bgColor indexed="16"/>
      </patternFill>
    </fill>
    <fill>
      <patternFill patternType="solid">
        <fgColor theme="9" tint="0.59999389629810485"/>
        <bgColor indexed="29"/>
      </patternFill>
    </fill>
    <fill>
      <patternFill patternType="solid">
        <fgColor theme="2" tint="-0.249977111117893"/>
        <bgColor indexed="64"/>
      </patternFill>
    </fill>
    <fill>
      <patternFill patternType="solid">
        <fgColor theme="2" tint="-0.249977111117893"/>
        <bgColor indexed="61"/>
      </patternFill>
    </fill>
    <fill>
      <patternFill patternType="solid">
        <fgColor theme="9" tint="0.59999389629810485"/>
        <bgColor indexed="59"/>
      </patternFill>
    </fill>
    <fill>
      <patternFill patternType="solid">
        <fgColor theme="2" tint="-9.9978637043366805E-2"/>
        <bgColor indexed="38"/>
      </patternFill>
    </fill>
    <fill>
      <patternFill patternType="solid">
        <fgColor theme="9" tint="0.59999389629810485"/>
        <bgColor indexed="25"/>
      </patternFill>
    </fill>
    <fill>
      <patternFill patternType="solid">
        <fgColor theme="9" tint="0.79998168889431442"/>
        <bgColor indexed="56"/>
      </patternFill>
    </fill>
    <fill>
      <patternFill patternType="solid">
        <fgColor rgb="FFFFFFCC"/>
        <bgColor rgb="FFFFFFD5"/>
      </patternFill>
    </fill>
    <fill>
      <patternFill patternType="solid">
        <fgColor rgb="FFCCFFCC"/>
        <bgColor rgb="FFCCFFFF"/>
      </patternFill>
    </fill>
    <fill>
      <patternFill patternType="solid">
        <fgColor rgb="FFEBF1DE"/>
        <bgColor rgb="FFF2F2F2"/>
      </patternFill>
    </fill>
  </fills>
  <borders count="48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top/>
      <bottom style="medium">
        <color indexed="8"/>
      </bottom>
      <diagonal/>
    </border>
    <border>
      <left style="medium">
        <color indexed="8"/>
      </left>
      <right style="medium">
        <color indexed="8"/>
      </right>
      <top/>
      <bottom/>
      <diagonal/>
    </border>
    <border>
      <left style="medium">
        <color indexed="8"/>
      </left>
      <right/>
      <top/>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diagonal/>
    </border>
    <border>
      <left/>
      <right style="medium">
        <color indexed="8"/>
      </right>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thin">
        <color indexed="8"/>
      </top>
      <bottom/>
      <diagonal/>
    </border>
    <border>
      <left style="thin">
        <color indexed="8"/>
      </left>
      <right/>
      <top/>
      <bottom/>
      <diagonal/>
    </border>
    <border>
      <left/>
      <right style="thin">
        <color indexed="8"/>
      </right>
      <top/>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diagonalUp="1">
      <left style="medium">
        <color indexed="8"/>
      </left>
      <right style="thin">
        <color indexed="8"/>
      </right>
      <top style="medium">
        <color indexed="8"/>
      </top>
      <bottom style="thin">
        <color indexed="8"/>
      </bottom>
      <diagonal style="thin">
        <color indexed="8"/>
      </diagonal>
    </border>
    <border diagonalUp="1">
      <left style="thin">
        <color indexed="8"/>
      </left>
      <right style="thin">
        <color indexed="8"/>
      </right>
      <top style="medium">
        <color indexed="8"/>
      </top>
      <bottom style="thin">
        <color indexed="8"/>
      </bottom>
      <diagonal style="thin">
        <color indexed="8"/>
      </diagonal>
    </border>
    <border diagonalUp="1">
      <left style="medium">
        <color indexed="8"/>
      </left>
      <right style="thin">
        <color indexed="8"/>
      </right>
      <top style="thin">
        <color indexed="8"/>
      </top>
      <bottom style="thin">
        <color indexed="8"/>
      </bottom>
      <diagonal style="thin">
        <color indexed="8"/>
      </diagonal>
    </border>
    <border>
      <left style="thin">
        <color indexed="8"/>
      </left>
      <right/>
      <top/>
      <bottom style="thin">
        <color indexed="8"/>
      </bottom>
      <diagonal/>
    </border>
    <border>
      <left/>
      <right/>
      <top/>
      <bottom style="thin">
        <color indexed="8"/>
      </bottom>
      <diagonal/>
    </border>
    <border diagonalUp="1">
      <left style="medium">
        <color indexed="8"/>
      </left>
      <right style="thin">
        <color indexed="8"/>
      </right>
      <top style="thin">
        <color indexed="8"/>
      </top>
      <bottom style="medium">
        <color indexed="8"/>
      </bottom>
      <diagonal style="thin">
        <color indexed="8"/>
      </diagonal>
    </border>
    <border diagonalUp="1">
      <left style="thin">
        <color indexed="8"/>
      </left>
      <right style="thin">
        <color indexed="8"/>
      </right>
      <top style="thin">
        <color indexed="8"/>
      </top>
      <bottom style="medium">
        <color indexed="8"/>
      </bottom>
      <diagonal style="thin">
        <color indexed="8"/>
      </diagonal>
    </border>
    <border>
      <left style="thin">
        <color indexed="8"/>
      </left>
      <right style="medium">
        <color indexed="8"/>
      </right>
      <top style="thin">
        <color indexed="8"/>
      </top>
      <bottom/>
      <diagonal/>
    </border>
    <border>
      <left style="thin">
        <color indexed="8"/>
      </left>
      <right/>
      <top style="medium">
        <color indexed="8"/>
      </top>
      <bottom style="thin">
        <color indexed="8"/>
      </bottom>
      <diagonal/>
    </border>
    <border>
      <left/>
      <right style="medium">
        <color indexed="8"/>
      </right>
      <top style="thin">
        <color indexed="8"/>
      </top>
      <bottom style="medium">
        <color indexed="8"/>
      </bottom>
      <diagonal/>
    </border>
    <border>
      <left style="thin">
        <color indexed="8"/>
      </left>
      <right style="thin">
        <color indexed="8"/>
      </right>
      <top/>
      <bottom/>
      <diagonal/>
    </border>
    <border>
      <left style="hair">
        <color indexed="8"/>
      </left>
      <right style="hair">
        <color indexed="8"/>
      </right>
      <top style="hair">
        <color indexed="8"/>
      </top>
      <bottom style="hair">
        <color indexed="8"/>
      </bottom>
      <diagonal/>
    </border>
    <border>
      <left/>
      <right style="thin">
        <color indexed="8"/>
      </right>
      <top style="medium">
        <color indexed="8"/>
      </top>
      <bottom style="medium">
        <color indexed="8"/>
      </bottom>
      <diagonal/>
    </border>
    <border>
      <left/>
      <right/>
      <top style="thin">
        <color indexed="8"/>
      </top>
      <bottom style="medium">
        <color indexed="8"/>
      </bottom>
      <diagonal/>
    </border>
    <border>
      <left style="thin">
        <color indexed="8"/>
      </left>
      <right style="thin">
        <color indexed="8"/>
      </right>
      <top style="thin">
        <color indexed="8"/>
      </top>
      <bottom style="hair">
        <color indexed="8"/>
      </bottom>
      <diagonal/>
    </border>
    <border>
      <left style="medium">
        <color indexed="8"/>
      </left>
      <right/>
      <top/>
      <bottom style="thin">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style="medium">
        <color indexed="8"/>
      </right>
      <top/>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right style="medium">
        <color indexed="8"/>
      </right>
      <top/>
      <bottom style="thin">
        <color indexed="8"/>
      </bottom>
      <diagonal/>
    </border>
    <border>
      <left style="thin">
        <color indexed="8"/>
      </left>
      <right/>
      <top style="medium">
        <color indexed="8"/>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diagonalUp="1">
      <left style="thin">
        <color indexed="8"/>
      </left>
      <right style="medium">
        <color indexed="8"/>
      </right>
      <top style="thin">
        <color indexed="8"/>
      </top>
      <bottom style="thin">
        <color indexed="8"/>
      </bottom>
      <diagonal style="thin">
        <color indexed="8"/>
      </diagonal>
    </border>
    <border diagonalUp="1">
      <left style="medium">
        <color indexed="8"/>
      </left>
      <right/>
      <top style="thin">
        <color indexed="8"/>
      </top>
      <bottom style="thin">
        <color indexed="8"/>
      </bottom>
      <diagonal style="thin">
        <color indexed="8"/>
      </diagonal>
    </border>
    <border diagonalUp="1">
      <left style="medium">
        <color indexed="8"/>
      </left>
      <right/>
      <top style="thin">
        <color indexed="8"/>
      </top>
      <bottom style="medium">
        <color indexed="8"/>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auto="1"/>
      </left>
      <right style="thin">
        <color indexed="8"/>
      </right>
      <top/>
      <bottom style="thin">
        <color indexed="8"/>
      </bottom>
      <diagonal/>
    </border>
    <border>
      <left/>
      <right style="thin">
        <color auto="1"/>
      </right>
      <top/>
      <bottom style="thin">
        <color indexed="8"/>
      </bottom>
      <diagonal/>
    </border>
    <border>
      <left/>
      <right style="thin">
        <color auto="1"/>
      </right>
      <top style="thin">
        <color indexed="8"/>
      </top>
      <bottom style="thin">
        <color indexed="8"/>
      </bottom>
      <diagonal/>
    </border>
    <border>
      <left style="thin">
        <color auto="1"/>
      </left>
      <right style="thin">
        <color indexed="8"/>
      </right>
      <top/>
      <bottom style="thin">
        <color auto="1"/>
      </bottom>
      <diagonal/>
    </border>
    <border>
      <left/>
      <right style="thin">
        <color indexed="8"/>
      </right>
      <top/>
      <bottom style="thin">
        <color auto="1"/>
      </bottom>
      <diagonal/>
    </border>
    <border>
      <left/>
      <right style="thin">
        <color indexed="8"/>
      </right>
      <top style="thin">
        <color indexed="8"/>
      </top>
      <bottom style="thin">
        <color auto="1"/>
      </bottom>
      <diagonal/>
    </border>
    <border>
      <left/>
      <right style="thin">
        <color auto="1"/>
      </right>
      <top style="thin">
        <color indexed="8"/>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indexed="8"/>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thin">
        <color auto="1"/>
      </bottom>
      <diagonal/>
    </border>
    <border>
      <left/>
      <right style="thin">
        <color auto="1"/>
      </right>
      <top/>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indexed="8"/>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medium">
        <color auto="1"/>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indexed="8"/>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right style="thin">
        <color auto="1"/>
      </right>
      <top style="thin">
        <color auto="1"/>
      </top>
      <bottom style="thin">
        <color auto="1"/>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indexed="8"/>
      </right>
      <top/>
      <bottom style="thin">
        <color indexed="8"/>
      </bottom>
      <diagonal/>
    </border>
    <border>
      <left style="thin">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thin">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style="thin">
        <color indexed="8"/>
      </left>
      <right style="thin">
        <color indexed="8"/>
      </right>
      <top style="thin">
        <color indexed="8"/>
      </top>
      <bottom style="thin">
        <color indexed="8"/>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thin">
        <color indexed="8"/>
      </left>
      <right style="medium">
        <color auto="1"/>
      </right>
      <top/>
      <bottom style="thin">
        <color indexed="8"/>
      </bottom>
      <diagonal/>
    </border>
    <border>
      <left style="medium">
        <color indexed="8"/>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style="thin">
        <color indexed="8"/>
      </left>
      <right style="medium">
        <color indexed="8"/>
      </right>
      <top style="medium">
        <color indexed="8"/>
      </top>
      <bottom style="medium">
        <color auto="1"/>
      </bottom>
      <diagonal/>
    </border>
    <border>
      <left/>
      <right style="medium">
        <color indexed="8"/>
      </right>
      <top style="medium">
        <color indexed="8"/>
      </top>
      <bottom style="medium">
        <color auto="1"/>
      </bottom>
      <diagonal/>
    </border>
    <border>
      <left style="thin">
        <color indexed="8"/>
      </left>
      <right/>
      <top style="medium">
        <color indexed="8"/>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auto="1"/>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8"/>
      </left>
      <right style="thin">
        <color indexed="8"/>
      </right>
      <top style="medium">
        <color auto="1"/>
      </top>
      <bottom style="thin">
        <color indexed="8"/>
      </bottom>
      <diagonal/>
    </border>
    <border>
      <left/>
      <right style="thin">
        <color indexed="8"/>
      </right>
      <top style="medium">
        <color auto="1"/>
      </top>
      <bottom style="thin">
        <color indexed="8"/>
      </bottom>
      <diagonal/>
    </border>
    <border>
      <left style="medium">
        <color indexed="8"/>
      </left>
      <right style="thin">
        <color indexed="8"/>
      </right>
      <top style="medium">
        <color auto="1"/>
      </top>
      <bottom style="thin">
        <color indexed="8"/>
      </bottom>
      <diagonal/>
    </border>
    <border>
      <left/>
      <right/>
      <top style="medium">
        <color auto="1"/>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right/>
      <top style="thin">
        <color indexed="8"/>
      </top>
      <bottom/>
      <diagonal/>
    </border>
    <border>
      <left style="medium">
        <color auto="1"/>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medium">
        <color auto="1"/>
      </right>
      <top style="medium">
        <color indexed="8"/>
      </top>
      <bottom style="thin">
        <color indexed="8"/>
      </bottom>
      <diagonal/>
    </border>
    <border>
      <left style="medium">
        <color auto="1"/>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auto="1"/>
      </right>
      <top style="thin">
        <color indexed="8"/>
      </top>
      <bottom/>
      <diagonal/>
    </border>
    <border>
      <left style="medium">
        <color auto="1"/>
      </left>
      <right style="thin">
        <color indexed="8"/>
      </right>
      <top style="thin">
        <color indexed="8"/>
      </top>
      <bottom style="medium">
        <color auto="1"/>
      </bottom>
      <diagonal/>
    </border>
    <border>
      <left/>
      <right/>
      <top style="thin">
        <color indexed="8"/>
      </top>
      <bottom style="medium">
        <color auto="1"/>
      </bottom>
      <diagonal/>
    </border>
    <border>
      <left style="medium">
        <color indexed="8"/>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indexed="8"/>
      </right>
      <top style="thin">
        <color indexed="8"/>
      </top>
      <bottom style="medium">
        <color auto="1"/>
      </bottom>
      <diagonal/>
    </border>
    <border>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medium">
        <color indexed="8"/>
      </left>
      <right/>
      <top style="medium">
        <color auto="1"/>
      </top>
      <bottom style="medium">
        <color auto="1"/>
      </bottom>
      <diagonal/>
    </border>
    <border>
      <left/>
      <right style="medium">
        <color indexed="8"/>
      </right>
      <top style="medium">
        <color auto="1"/>
      </top>
      <bottom style="medium">
        <color auto="1"/>
      </bottom>
      <diagonal/>
    </border>
    <border>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auto="1"/>
      </left>
      <right/>
      <top style="thin">
        <color indexed="8"/>
      </top>
      <bottom/>
      <diagonal/>
    </border>
    <border>
      <left style="medium">
        <color auto="1"/>
      </left>
      <right style="thin">
        <color indexed="8"/>
      </right>
      <top style="thin">
        <color indexed="8"/>
      </top>
      <bottom style="thin">
        <color auto="1"/>
      </bottom>
      <diagonal/>
    </border>
    <border>
      <left style="thin">
        <color indexed="8"/>
      </left>
      <right style="medium">
        <color auto="1"/>
      </right>
      <top style="thin">
        <color indexed="8"/>
      </top>
      <bottom style="thin">
        <color auto="1"/>
      </bottom>
      <diagonal/>
    </border>
    <border>
      <left style="medium">
        <color auto="1"/>
      </left>
      <right/>
      <top style="thin">
        <color indexed="8"/>
      </top>
      <bottom style="medium">
        <color auto="1"/>
      </bottom>
      <diagonal/>
    </border>
    <border>
      <left style="thin">
        <color indexed="8"/>
      </left>
      <right/>
      <top style="thin">
        <color indexed="8"/>
      </top>
      <bottom style="medium">
        <color auto="1"/>
      </bottom>
      <diagonal/>
    </border>
    <border>
      <left style="medium">
        <color indexed="8"/>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medium">
        <color auto="1"/>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thin">
        <color indexed="8"/>
      </bottom>
      <diagonal/>
    </border>
    <border>
      <left/>
      <right style="medium">
        <color auto="1"/>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top style="thin">
        <color indexed="8"/>
      </top>
      <bottom style="medium">
        <color auto="1"/>
      </bottom>
      <diagonal/>
    </border>
    <border>
      <left/>
      <right style="medium">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medium">
        <color indexed="8"/>
      </left>
      <right style="thin">
        <color indexed="8"/>
      </right>
      <top style="thin">
        <color indexed="8"/>
      </top>
      <bottom style="medium">
        <color auto="1"/>
      </bottom>
      <diagonal/>
    </border>
    <border>
      <left style="thin">
        <color indexed="8"/>
      </left>
      <right style="medium">
        <color indexed="8"/>
      </right>
      <top style="thin">
        <color indexed="8"/>
      </top>
      <bottom style="medium">
        <color auto="1"/>
      </bottom>
      <diagonal/>
    </border>
    <border>
      <left/>
      <right/>
      <top style="thin">
        <color indexed="8"/>
      </top>
      <bottom style="medium">
        <color auto="1"/>
      </bottom>
      <diagonal/>
    </border>
    <border>
      <left style="thin">
        <color indexed="8"/>
      </left>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indexed="8"/>
      </left>
      <right style="thin">
        <color indexed="8"/>
      </right>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indexed="8"/>
      </bottom>
      <diagonal/>
    </border>
    <border>
      <left style="thin">
        <color auto="1"/>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top style="medium">
        <color indexed="8"/>
      </top>
      <bottom style="medium">
        <color auto="1"/>
      </bottom>
      <diagonal/>
    </border>
    <border>
      <left/>
      <right/>
      <top style="medium">
        <color indexed="8"/>
      </top>
      <bottom style="medium">
        <color auto="1"/>
      </bottom>
      <diagonal/>
    </border>
    <border>
      <left style="medium">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right/>
      <top style="thin">
        <color indexed="8"/>
      </top>
      <bottom style="medium">
        <color indexed="8"/>
      </bottom>
      <diagonal/>
    </border>
    <border>
      <left style="medium">
        <color auto="1"/>
      </left>
      <right/>
      <top style="medium">
        <color indexed="8"/>
      </top>
      <bottom style="medium">
        <color auto="1"/>
      </bottom>
      <diagonal/>
    </border>
    <border>
      <left/>
      <right/>
      <top style="medium">
        <color auto="1"/>
      </top>
      <bottom style="thin">
        <color auto="1"/>
      </bottom>
      <diagonal/>
    </border>
    <border>
      <left/>
      <right style="medium">
        <color indexed="8"/>
      </right>
      <top/>
      <bottom style="thin">
        <color indexed="8"/>
      </bottom>
      <diagonal/>
    </border>
    <border>
      <left/>
      <right style="medium">
        <color indexed="8"/>
      </right>
      <top/>
      <bottom style="medium">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bottom style="thin">
        <color auto="1"/>
      </bottom>
      <diagonal/>
    </border>
    <border>
      <left/>
      <right style="medium">
        <color indexed="8"/>
      </right>
      <top style="medium">
        <color auto="1"/>
      </top>
      <bottom/>
      <diagonal/>
    </border>
    <border>
      <left style="medium">
        <color indexed="8"/>
      </left>
      <right/>
      <top style="medium">
        <color auto="1"/>
      </top>
      <bottom/>
      <diagonal/>
    </border>
    <border>
      <left/>
      <right style="medium">
        <color indexed="8"/>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style="medium">
        <color indexed="8"/>
      </bottom>
      <diagonal/>
    </border>
    <border>
      <left/>
      <right style="medium">
        <color auto="1"/>
      </right>
      <top/>
      <bottom style="medium">
        <color indexed="8"/>
      </bottom>
      <diagonal/>
    </border>
    <border>
      <left style="thin">
        <color indexed="8"/>
      </left>
      <right style="medium">
        <color auto="1"/>
      </right>
      <top style="medium">
        <color indexed="8"/>
      </top>
      <bottom style="medium">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bottom style="medium">
        <color auto="1"/>
      </bottom>
      <diagonal/>
    </border>
    <border>
      <left style="thin">
        <color indexed="8"/>
      </left>
      <right style="medium">
        <color indexed="8"/>
      </right>
      <top style="medium">
        <color auto="1"/>
      </top>
      <bottom style="medium">
        <color auto="1"/>
      </bottom>
      <diagonal/>
    </border>
    <border>
      <left/>
      <right style="medium">
        <color auto="1"/>
      </right>
      <top style="thin">
        <color auto="1"/>
      </top>
      <bottom style="thin">
        <color auto="1"/>
      </bottom>
      <diagonal/>
    </border>
    <border>
      <left style="medium">
        <color indexed="8"/>
      </left>
      <right style="thin">
        <color auto="1"/>
      </right>
      <top style="medium">
        <color auto="1"/>
      </top>
      <bottom style="medium">
        <color auto="1"/>
      </bottom>
      <diagonal/>
    </border>
    <border>
      <left style="thin">
        <color auto="1"/>
      </left>
      <right style="thin">
        <color indexed="8"/>
      </right>
      <top style="medium">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8"/>
      </right>
      <top/>
      <bottom style="thin">
        <color indexed="8"/>
      </bottom>
      <diagonal/>
    </border>
    <border>
      <left style="thin">
        <color auto="1"/>
      </left>
      <right style="thin">
        <color indexed="8"/>
      </right>
      <top/>
      <bottom style="medium">
        <color indexed="8"/>
      </bottom>
      <diagonal/>
    </border>
    <border>
      <left style="thin">
        <color auto="1"/>
      </left>
      <right style="thin">
        <color indexed="8"/>
      </right>
      <top style="thin">
        <color indexed="8"/>
      </top>
      <bottom style="medium">
        <color indexed="8"/>
      </bottom>
      <diagonal/>
    </border>
    <border>
      <left/>
      <right style="thin">
        <color indexed="8"/>
      </right>
      <top style="thin">
        <color indexed="8"/>
      </top>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right style="medium">
        <color indexed="8"/>
      </right>
      <top style="medium">
        <color auto="1"/>
      </top>
      <bottom style="thin">
        <color indexed="8"/>
      </bottom>
      <diagonal/>
    </border>
    <border>
      <left style="medium">
        <color auto="1"/>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medium">
        <color auto="1"/>
      </right>
      <top style="thin">
        <color indexed="8"/>
      </top>
      <bottom/>
      <diagonal/>
    </border>
    <border>
      <left style="medium">
        <color auto="1"/>
      </left>
      <right/>
      <top style="thin">
        <color indexed="8"/>
      </top>
      <bottom style="medium">
        <color auto="1"/>
      </bottom>
      <diagonal/>
    </border>
    <border>
      <left/>
      <right/>
      <top style="thin">
        <color indexed="8"/>
      </top>
      <bottom style="medium">
        <color auto="1"/>
      </bottom>
      <diagonal/>
    </border>
    <border>
      <left style="thin">
        <color auto="1"/>
      </left>
      <right/>
      <top style="thin">
        <color auto="1"/>
      </top>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diagonal/>
    </border>
    <border>
      <left style="thin">
        <color auto="1"/>
      </left>
      <right style="thin">
        <color auto="1"/>
      </right>
      <top style="thin">
        <color auto="1"/>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right style="medium">
        <color auto="1"/>
      </right>
      <top style="medium">
        <color auto="1"/>
      </top>
      <bottom style="thin">
        <color indexed="8"/>
      </bottom>
      <diagonal/>
    </border>
    <border>
      <left/>
      <right style="medium">
        <color auto="1"/>
      </right>
      <top style="thin">
        <color indexed="8"/>
      </top>
      <bottom style="medium">
        <color auto="1"/>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medium">
        <color indexed="8"/>
      </right>
      <top style="medium">
        <color auto="1"/>
      </top>
      <bottom style="thin">
        <color indexed="8"/>
      </bottom>
      <diagonal/>
    </border>
    <border>
      <left style="medium">
        <color indexed="8"/>
      </left>
      <right style="medium">
        <color indexed="8"/>
      </right>
      <top style="medium">
        <color auto="1"/>
      </top>
      <bottom style="thin">
        <color indexed="8"/>
      </bottom>
      <diagonal/>
    </border>
    <border>
      <left style="medium">
        <color indexed="8"/>
      </left>
      <right/>
      <top style="medium">
        <color auto="1"/>
      </top>
      <bottom style="thin">
        <color indexed="8"/>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thin">
        <color indexed="8"/>
      </right>
      <top/>
      <bottom style="medium">
        <color auto="1"/>
      </bottom>
      <diagonal/>
    </border>
    <border>
      <left style="thin">
        <color indexed="8"/>
      </left>
      <right style="medium">
        <color auto="1"/>
      </right>
      <top/>
      <bottom style="medium">
        <color auto="1"/>
      </bottom>
      <diagonal/>
    </border>
    <border>
      <left style="thin">
        <color indexed="8"/>
      </left>
      <right/>
      <top/>
      <bottom style="medium">
        <color auto="1"/>
      </bottom>
      <diagonal/>
    </border>
    <border>
      <left/>
      <right style="thin">
        <color indexed="8"/>
      </right>
      <top style="thin">
        <color indexed="8"/>
      </top>
      <bottom style="medium">
        <color indexed="8"/>
      </bottom>
      <diagonal/>
    </border>
    <border>
      <left style="medium">
        <color auto="1"/>
      </left>
      <right style="thin">
        <color indexed="8"/>
      </right>
      <top/>
      <bottom style="medium">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40">
    <xf numFmtId="0" fontId="0" fillId="0" borderId="0"/>
    <xf numFmtId="0" fontId="5" fillId="2" borderId="0" applyNumberFormat="0" applyBorder="0" applyProtection="0"/>
    <xf numFmtId="0" fontId="5" fillId="3" borderId="0" applyNumberFormat="0" applyBorder="0" applyProtection="0"/>
    <xf numFmtId="0" fontId="5" fillId="4" borderId="0" applyNumberFormat="0" applyBorder="0" applyProtection="0"/>
    <xf numFmtId="0" fontId="5" fillId="5" borderId="0" applyNumberFormat="0" applyBorder="0" applyProtection="0"/>
    <xf numFmtId="0" fontId="5" fillId="2" borderId="0" applyNumberFormat="0" applyBorder="0" applyProtection="0"/>
    <xf numFmtId="0" fontId="5" fillId="6" borderId="0" applyNumberFormat="0" applyBorder="0" applyProtection="0"/>
    <xf numFmtId="0" fontId="6" fillId="7" borderId="1" applyNumberFormat="0" applyProtection="0"/>
    <xf numFmtId="0" fontId="6" fillId="7" borderId="1" applyNumberFormat="0" applyProtection="0"/>
    <xf numFmtId="0" fontId="7" fillId="7" borderId="2" applyNumberFormat="0" applyProtection="0"/>
    <xf numFmtId="0" fontId="7" fillId="7" borderId="2" applyNumberFormat="0" applyProtection="0"/>
    <xf numFmtId="0" fontId="12" fillId="0" borderId="0" applyNumberFormat="0" applyFill="0" applyBorder="0" applyProtection="0"/>
    <xf numFmtId="0" fontId="8" fillId="8" borderId="2" applyNumberFormat="0" applyProtection="0"/>
    <xf numFmtId="0" fontId="8" fillId="8" borderId="2" applyNumberFormat="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10" fillId="0" borderId="0" applyNumberFormat="0" applyFill="0" applyBorder="0" applyProtection="0"/>
    <xf numFmtId="0" fontId="11" fillId="9" borderId="0" applyNumberFormat="0" applyBorder="0" applyProtection="0"/>
    <xf numFmtId="164" fontId="129" fillId="0" borderId="0" applyFill="0" applyBorder="0" applyProtection="0"/>
    <xf numFmtId="165" fontId="129" fillId="0" borderId="0" applyFill="0" applyBorder="0" applyProtection="0"/>
    <xf numFmtId="164" fontId="129" fillId="0" borderId="0" applyFill="0" applyBorder="0" applyProtection="0"/>
    <xf numFmtId="0" fontId="12" fillId="0" borderId="0" applyNumberFormat="0" applyFill="0" applyBorder="0" applyProtection="0"/>
    <xf numFmtId="0" fontId="12" fillId="0" borderId="0" applyNumberFormat="0" applyFill="0" applyBorder="0" applyProtection="0"/>
    <xf numFmtId="0" fontId="50" fillId="0" borderId="0" applyNumberFormat="0" applyFill="0" applyBorder="0" applyProtection="0"/>
    <xf numFmtId="0" fontId="13" fillId="8" borderId="0" applyNumberFormat="0" applyBorder="0" applyProtection="0"/>
    <xf numFmtId="0" fontId="129" fillId="10" borderId="4" applyNumberFormat="0" applyProtection="0"/>
    <xf numFmtId="0" fontId="129" fillId="10" borderId="4" applyNumberFormat="0" applyProtection="0"/>
    <xf numFmtId="0" fontId="12" fillId="0" borderId="0" applyNumberFormat="0" applyFill="0" applyBorder="0" applyProtection="0"/>
    <xf numFmtId="9" fontId="129" fillId="0" borderId="0" applyFill="0" applyBorder="0" applyProtection="0"/>
    <xf numFmtId="0" fontId="12" fillId="0" borderId="0" applyNumberFormat="0" applyFill="0" applyBorder="0" applyProtection="0"/>
    <xf numFmtId="0" fontId="12" fillId="0" borderId="0" applyNumberFormat="0" applyFill="0" applyBorder="0" applyProtection="0"/>
    <xf numFmtId="0" fontId="14" fillId="11" borderId="0" applyNumberFormat="0" applyBorder="0" applyProtection="0"/>
    <xf numFmtId="0" fontId="129" fillId="0" borderId="0"/>
    <xf numFmtId="0" fontId="129" fillId="0" borderId="0"/>
    <xf numFmtId="0" fontId="15" fillId="0" borderId="0"/>
    <xf numFmtId="0" fontId="15" fillId="0" borderId="0"/>
    <xf numFmtId="0" fontId="15" fillId="0" borderId="0"/>
    <xf numFmtId="0" fontId="15" fillId="0" borderId="0"/>
    <xf numFmtId="0" fontId="129" fillId="0" borderId="0"/>
    <xf numFmtId="0" fontId="15" fillId="0" borderId="0"/>
    <xf numFmtId="0" fontId="129" fillId="0" borderId="0"/>
    <xf numFmtId="0" fontId="19" fillId="0" borderId="0" applyNumberFormat="0" applyFill="0" applyBorder="0" applyProtection="0"/>
    <xf numFmtId="0" fontId="20" fillId="0" borderId="5" applyNumberFormat="0" applyFill="0" applyProtection="0"/>
    <xf numFmtId="0" fontId="19" fillId="0" borderId="0" applyNumberFormat="0" applyFill="0" applyBorder="0" applyProtection="0"/>
    <xf numFmtId="0" fontId="21" fillId="0" borderId="6" applyNumberFormat="0" applyFill="0" applyProtection="0"/>
    <xf numFmtId="0" fontId="22" fillId="0" borderId="7" applyNumberFormat="0" applyFill="0" applyProtection="0"/>
    <xf numFmtId="0" fontId="22" fillId="0" borderId="0" applyNumberFormat="0" applyFill="0" applyBorder="0" applyProtection="0"/>
    <xf numFmtId="0" fontId="16" fillId="0" borderId="8" applyNumberFormat="0" applyFill="0" applyProtection="0"/>
    <xf numFmtId="0" fontId="17" fillId="0" borderId="0" applyNumberFormat="0" applyFill="0" applyBorder="0" applyProtection="0"/>
    <xf numFmtId="0" fontId="18" fillId="12" borderId="9" applyNumberFormat="0" applyProtection="0"/>
    <xf numFmtId="44" fontId="129" fillId="0" borderId="0" applyFont="0" applyFill="0" applyBorder="0" applyAlignment="0" applyProtection="0"/>
    <xf numFmtId="0" fontId="4" fillId="0" borderId="0"/>
    <xf numFmtId="0" fontId="178"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129" fillId="0" borderId="0"/>
    <xf numFmtId="0" fontId="12" fillId="0" borderId="0" applyNumberFormat="0" applyFill="0" applyBorder="0" applyProtection="0"/>
    <xf numFmtId="0" fontId="12" fillId="0" borderId="0" applyNumberFormat="0" applyFill="0" applyBorder="0" applyProtection="0"/>
    <xf numFmtId="0" fontId="129" fillId="0" borderId="0"/>
    <xf numFmtId="44" fontId="129" fillId="0" borderId="0" applyFont="0" applyFill="0" applyBorder="0" applyAlignment="0" applyProtection="0"/>
    <xf numFmtId="0" fontId="3" fillId="0" borderId="0"/>
    <xf numFmtId="43" fontId="3" fillId="0" borderId="0" applyFont="0" applyFill="0" applyBorder="0" applyAlignment="0" applyProtection="0"/>
    <xf numFmtId="0" fontId="6" fillId="7" borderId="1" applyNumberFormat="0" applyProtection="0"/>
    <xf numFmtId="0" fontId="6" fillId="7" borderId="1" applyNumberFormat="0" applyProtection="0"/>
    <xf numFmtId="0" fontId="7" fillId="7" borderId="2" applyNumberFormat="0" applyProtection="0"/>
    <xf numFmtId="0" fontId="7" fillId="7" borderId="2" applyNumberFormat="0" applyProtection="0"/>
    <xf numFmtId="0" fontId="8" fillId="8" borderId="2" applyNumberFormat="0" applyProtection="0"/>
    <xf numFmtId="0" fontId="8" fillId="8" borderId="2" applyNumberFormat="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129" fillId="10" borderId="4" applyNumberFormat="0" applyProtection="0"/>
    <xf numFmtId="0" fontId="129" fillId="10" borderId="4" applyNumberForma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6" fillId="7" borderId="1" applyNumberFormat="0" applyProtection="0"/>
    <xf numFmtId="0" fontId="6" fillId="7" borderId="1" applyNumberFormat="0" applyProtection="0"/>
    <xf numFmtId="0" fontId="7" fillId="7" borderId="2" applyNumberFormat="0" applyProtection="0"/>
    <xf numFmtId="0" fontId="7" fillId="7" borderId="2" applyNumberFormat="0" applyProtection="0"/>
    <xf numFmtId="0" fontId="8" fillId="8" borderId="2" applyNumberFormat="0" applyProtection="0"/>
    <xf numFmtId="0" fontId="8" fillId="8" borderId="2" applyNumberFormat="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50" fillId="0" borderId="0" applyNumberFormat="0" applyFill="0" applyBorder="0" applyProtection="0"/>
    <xf numFmtId="0" fontId="129" fillId="10" borderId="4" applyNumberFormat="0" applyProtection="0"/>
    <xf numFmtId="0" fontId="129" fillId="10" borderId="4" applyNumberFormat="0" applyProtection="0"/>
    <xf numFmtId="0" fontId="129" fillId="10" borderId="4" applyNumberFormat="0" applyProtection="0"/>
    <xf numFmtId="0" fontId="129" fillId="10" borderId="4" applyNumberFormat="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8" fillId="8" borderId="2" applyNumberFormat="0" applyProtection="0"/>
    <xf numFmtId="0" fontId="7" fillId="7" borderId="2" applyNumberFormat="0" applyProtection="0"/>
    <xf numFmtId="0" fontId="7" fillId="7" borderId="2" applyNumberFormat="0" applyProtection="0"/>
    <xf numFmtId="0" fontId="6" fillId="7" borderId="1" applyNumberFormat="0" applyProtection="0"/>
    <xf numFmtId="0" fontId="6" fillId="7" borderId="1" applyNumberFormat="0" applyProtection="0"/>
    <xf numFmtId="0" fontId="8" fillId="8" borderId="2" applyNumberForma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6" fillId="7" borderId="1" applyNumberFormat="0" applyProtection="0"/>
    <xf numFmtId="0" fontId="6" fillId="7" borderId="1" applyNumberFormat="0" applyProtection="0"/>
    <xf numFmtId="0" fontId="7" fillId="7" borderId="2" applyNumberFormat="0" applyProtection="0"/>
    <xf numFmtId="0" fontId="7" fillId="7" borderId="2" applyNumberFormat="0" applyProtection="0"/>
    <xf numFmtId="0" fontId="8" fillId="8" borderId="2" applyNumberFormat="0" applyProtection="0"/>
    <xf numFmtId="0" fontId="8" fillId="8" borderId="2" applyNumberFormat="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129" fillId="10" borderId="4" applyNumberFormat="0" applyProtection="0"/>
    <xf numFmtId="0" fontId="129" fillId="10" borderId="4" applyNumberFormat="0" applyProtection="0"/>
    <xf numFmtId="0" fontId="6" fillId="7" borderId="1" applyNumberFormat="0" applyProtection="0"/>
    <xf numFmtId="0" fontId="6" fillId="7" borderId="1" applyNumberFormat="0" applyProtection="0"/>
    <xf numFmtId="0" fontId="7" fillId="7" borderId="2" applyNumberFormat="0" applyProtection="0"/>
    <xf numFmtId="0" fontId="7" fillId="7" borderId="2" applyNumberFormat="0" applyProtection="0"/>
    <xf numFmtId="0" fontId="8" fillId="8" borderId="2" applyNumberFormat="0" applyProtection="0"/>
    <xf numFmtId="0" fontId="8" fillId="8" borderId="2" applyNumberFormat="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9" fillId="0" borderId="3" applyNumberFormat="0" applyFill="0" applyProtection="0"/>
    <xf numFmtId="0" fontId="129" fillId="10" borderId="4" applyNumberFormat="0" applyProtection="0"/>
    <xf numFmtId="0" fontId="129" fillId="10" borderId="4" applyNumberFormat="0" applyProtection="0"/>
    <xf numFmtId="0" fontId="184" fillId="0" borderId="0" applyBorder="0" applyProtection="0"/>
    <xf numFmtId="176" fontId="178" fillId="0" borderId="0" applyBorder="0" applyProtection="0"/>
    <xf numFmtId="0" fontId="184" fillId="0" borderId="0" applyBorder="0" applyProtection="0"/>
    <xf numFmtId="0" fontId="183" fillId="0" borderId="0" applyBorder="0" applyProtection="0"/>
    <xf numFmtId="0" fontId="185" fillId="0" borderId="0" applyBorder="0" applyProtection="0"/>
    <xf numFmtId="0" fontId="188" fillId="0" borderId="0"/>
  </cellStyleXfs>
  <cellXfs count="3710">
    <xf numFmtId="0" fontId="0" fillId="0" borderId="0" xfId="0"/>
    <xf numFmtId="0" fontId="0" fillId="0" borderId="0" xfId="0" applyAlignment="1">
      <alignment horizontal="center"/>
    </xf>
    <xf numFmtId="0" fontId="0" fillId="0" borderId="0" xfId="0" applyAlignment="1">
      <alignment horizontal="left"/>
    </xf>
    <xf numFmtId="0" fontId="23" fillId="13" borderId="0" xfId="0" applyFont="1" applyFill="1"/>
    <xf numFmtId="0" fontId="0" fillId="13" borderId="0" xfId="0" applyFill="1"/>
    <xf numFmtId="0" fontId="0" fillId="13" borderId="0" xfId="0" applyFill="1" applyAlignment="1">
      <alignment horizontal="center"/>
    </xf>
    <xf numFmtId="0" fontId="0" fillId="13" borderId="0" xfId="0" applyFill="1" applyAlignment="1">
      <alignment horizontal="center" vertical="center"/>
    </xf>
    <xf numFmtId="0" fontId="0" fillId="13" borderId="0" xfId="0" applyFill="1" applyAlignment="1">
      <alignment horizontal="left" vertical="center"/>
    </xf>
    <xf numFmtId="0" fontId="0" fillId="10" borderId="0" xfId="0" applyFill="1" applyAlignment="1">
      <alignment horizontal="center" vertical="center"/>
    </xf>
    <xf numFmtId="0" fontId="0" fillId="0" borderId="0" xfId="0" applyAlignment="1">
      <alignment horizontal="center" vertical="center"/>
    </xf>
    <xf numFmtId="0" fontId="0" fillId="13" borderId="10" xfId="0" applyFill="1" applyBorder="1"/>
    <xf numFmtId="0" fontId="0" fillId="13" borderId="11" xfId="0" applyFont="1" applyFill="1" applyBorder="1"/>
    <xf numFmtId="0" fontId="0" fillId="13" borderId="13" xfId="0" applyFill="1" applyBorder="1" applyAlignment="1">
      <alignment horizontal="center" vertical="center"/>
    </xf>
    <xf numFmtId="0" fontId="0" fillId="13" borderId="15" xfId="0" applyFont="1" applyFill="1" applyBorder="1" applyAlignment="1">
      <alignment horizontal="left" vertical="center"/>
    </xf>
    <xf numFmtId="0" fontId="0" fillId="1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14" borderId="10" xfId="0" applyFill="1" applyBorder="1" applyAlignment="1">
      <alignment horizontal="center" vertical="center"/>
    </xf>
    <xf numFmtId="0" fontId="0" fillId="14" borderId="16" xfId="0" applyFill="1" applyBorder="1" applyAlignment="1">
      <alignment horizontal="center" vertical="center"/>
    </xf>
    <xf numFmtId="0" fontId="0" fillId="14" borderId="17" xfId="0" applyFill="1" applyBorder="1" applyAlignment="1">
      <alignment horizontal="center" vertical="center"/>
    </xf>
    <xf numFmtId="0" fontId="0" fillId="14" borderId="18" xfId="0" applyFill="1" applyBorder="1" applyAlignment="1">
      <alignment horizontal="center" vertical="center"/>
    </xf>
    <xf numFmtId="0" fontId="0" fillId="14" borderId="19" xfId="0" applyFill="1" applyBorder="1" applyAlignment="1">
      <alignment horizontal="center" vertical="center"/>
    </xf>
    <xf numFmtId="0" fontId="0" fillId="14" borderId="20" xfId="0" applyFill="1" applyBorder="1" applyAlignment="1">
      <alignment horizontal="center" vertical="center"/>
    </xf>
    <xf numFmtId="0" fontId="0" fillId="14" borderId="21" xfId="0" applyFill="1" applyBorder="1" applyAlignment="1">
      <alignment horizontal="center" vertical="center"/>
    </xf>
    <xf numFmtId="0" fontId="0" fillId="14" borderId="22" xfId="0" applyFill="1" applyBorder="1" applyAlignment="1">
      <alignment horizontal="center" vertical="center"/>
    </xf>
    <xf numFmtId="14" fontId="27" fillId="14" borderId="0" xfId="0" applyNumberFormat="1" applyFont="1" applyFill="1" applyBorder="1" applyAlignment="1" applyProtection="1">
      <alignment horizontal="left" vertical="center"/>
      <protection locked="0"/>
    </xf>
    <xf numFmtId="14" fontId="0" fillId="14" borderId="0" xfId="0" applyNumberFormat="1" applyFont="1" applyFill="1" applyBorder="1" applyAlignment="1" applyProtection="1">
      <alignment horizontal="left" vertical="center"/>
      <protection locked="0"/>
    </xf>
    <xf numFmtId="0" fontId="28" fillId="0" borderId="23" xfId="0" applyFont="1" applyBorder="1" applyAlignment="1"/>
    <xf numFmtId="0" fontId="9" fillId="0" borderId="24" xfId="0" applyFont="1" applyBorder="1"/>
    <xf numFmtId="0" fontId="9" fillId="0" borderId="25" xfId="0" applyFont="1" applyBorder="1"/>
    <xf numFmtId="0" fontId="9" fillId="0" borderId="26" xfId="0" applyFont="1" applyBorder="1"/>
    <xf numFmtId="0" fontId="0" fillId="0" borderId="25" xfId="0" applyBorder="1"/>
    <xf numFmtId="0" fontId="0" fillId="0" borderId="26" xfId="0" applyBorder="1"/>
    <xf numFmtId="0" fontId="0" fillId="13" borderId="17" xfId="0" applyFont="1" applyFill="1" applyBorder="1" applyAlignment="1">
      <alignment horizontal="center"/>
    </xf>
    <xf numFmtId="0" fontId="0" fillId="13" borderId="18" xfId="0" applyFont="1" applyFill="1" applyBorder="1" applyAlignment="1">
      <alignment horizontal="center"/>
    </xf>
    <xf numFmtId="0" fontId="0" fillId="13" borderId="19" xfId="0" applyFont="1" applyFill="1" applyBorder="1" applyAlignment="1">
      <alignment horizontal="center"/>
    </xf>
    <xf numFmtId="0" fontId="0" fillId="13" borderId="17" xfId="0" applyFont="1" applyFill="1" applyBorder="1" applyAlignment="1">
      <alignment horizontal="center" vertical="center"/>
    </xf>
    <xf numFmtId="0" fontId="0" fillId="13" borderId="18" xfId="0" applyFont="1" applyFill="1" applyBorder="1" applyAlignment="1">
      <alignment horizontal="center" vertical="center"/>
    </xf>
    <xf numFmtId="0" fontId="0" fillId="13" borderId="27" xfId="0" applyFont="1" applyFill="1" applyBorder="1" applyAlignment="1">
      <alignment horizontal="center" vertical="center"/>
    </xf>
    <xf numFmtId="0" fontId="0" fillId="13" borderId="28" xfId="0" applyFont="1" applyFill="1" applyBorder="1" applyAlignment="1">
      <alignment horizontal="center" vertical="center"/>
    </xf>
    <xf numFmtId="0" fontId="0" fillId="14" borderId="30" xfId="0" applyFont="1" applyFill="1" applyBorder="1" applyAlignment="1">
      <alignment horizontal="center" vertical="center"/>
    </xf>
    <xf numFmtId="0" fontId="0" fillId="14" borderId="12" xfId="0" applyFont="1" applyFill="1" applyBorder="1" applyAlignment="1">
      <alignment horizontal="center" vertical="center"/>
    </xf>
    <xf numFmtId="0" fontId="0" fillId="14" borderId="31" xfId="0" applyFont="1" applyFill="1" applyBorder="1" applyAlignment="1">
      <alignment horizontal="center" vertical="center"/>
    </xf>
    <xf numFmtId="0" fontId="28" fillId="14" borderId="31" xfId="0" applyFont="1" applyFill="1" applyBorder="1" applyAlignment="1" applyProtection="1">
      <alignment horizontal="center" vertical="center"/>
      <protection hidden="1"/>
    </xf>
    <xf numFmtId="0" fontId="33" fillId="14" borderId="31" xfId="0" applyFont="1" applyFill="1" applyBorder="1" applyAlignment="1">
      <alignment horizontal="left" vertical="center"/>
    </xf>
    <xf numFmtId="0" fontId="0" fillId="14" borderId="32" xfId="0" applyFill="1" applyBorder="1" applyAlignment="1">
      <alignment horizontal="center" vertical="center"/>
    </xf>
    <xf numFmtId="0" fontId="0" fillId="15" borderId="33" xfId="0" applyFont="1" applyFill="1" applyBorder="1"/>
    <xf numFmtId="0" fontId="0" fillId="15" borderId="34" xfId="0" applyFill="1" applyBorder="1"/>
    <xf numFmtId="0" fontId="0" fillId="14" borderId="35" xfId="0" applyFill="1" applyBorder="1"/>
    <xf numFmtId="0" fontId="0" fillId="14" borderId="36" xfId="0" applyFill="1" applyBorder="1"/>
    <xf numFmtId="0" fontId="0" fillId="14" borderId="35" xfId="0" applyFill="1" applyBorder="1" applyAlignment="1">
      <alignment horizontal="center"/>
    </xf>
    <xf numFmtId="0" fontId="0" fillId="14" borderId="37" xfId="0" applyFill="1" applyBorder="1" applyAlignment="1">
      <alignment horizontal="center"/>
    </xf>
    <xf numFmtId="0" fontId="0" fillId="14" borderId="35" xfId="0" applyFill="1" applyBorder="1" applyAlignment="1">
      <alignment horizontal="center" vertic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26" xfId="0" applyFont="1" applyFill="1" applyBorder="1" applyAlignment="1">
      <alignment horizontal="left" vertical="center"/>
    </xf>
    <xf numFmtId="0" fontId="9" fillId="0" borderId="10" xfId="0" applyFont="1" applyBorder="1" applyAlignment="1">
      <alignment horizontal="center" vertical="center"/>
    </xf>
    <xf numFmtId="0" fontId="0" fillId="14" borderId="28" xfId="0" applyFont="1" applyFill="1" applyBorder="1" applyAlignment="1">
      <alignment horizontal="center" vertical="center"/>
    </xf>
    <xf numFmtId="0" fontId="0" fillId="14" borderId="11" xfId="0" applyFont="1" applyFill="1" applyBorder="1" applyAlignment="1">
      <alignment horizontal="center" vertical="center"/>
    </xf>
    <xf numFmtId="0" fontId="0" fillId="14" borderId="39" xfId="0" applyFont="1" applyFill="1" applyBorder="1" applyAlignment="1">
      <alignment horizontal="center" vertical="center"/>
    </xf>
    <xf numFmtId="0" fontId="0" fillId="14" borderId="15" xfId="0" applyFont="1" applyFill="1" applyBorder="1" applyAlignment="1">
      <alignment horizontal="center" vertical="center"/>
    </xf>
    <xf numFmtId="0" fontId="9" fillId="14" borderId="40" xfId="0" applyFont="1" applyFill="1" applyBorder="1" applyAlignment="1">
      <alignment horizontal="center" vertical="center"/>
    </xf>
    <xf numFmtId="0" fontId="0" fillId="14" borderId="41" xfId="0" applyFont="1" applyFill="1" applyBorder="1" applyAlignment="1">
      <alignment horizontal="center" vertical="center"/>
    </xf>
    <xf numFmtId="0" fontId="15" fillId="9" borderId="42" xfId="0" applyFont="1" applyFill="1" applyBorder="1" applyAlignment="1">
      <alignment horizontal="center" vertical="center" wrapText="1"/>
    </xf>
    <xf numFmtId="0" fontId="15" fillId="9" borderId="43" xfId="0" applyFont="1" applyFill="1" applyBorder="1" applyAlignment="1">
      <alignment horizontal="center" vertical="center" wrapText="1"/>
    </xf>
    <xf numFmtId="0" fontId="0" fillId="14" borderId="29" xfId="0" applyFont="1" applyFill="1" applyBorder="1" applyAlignment="1">
      <alignment horizontal="center" vertical="center"/>
    </xf>
    <xf numFmtId="0" fontId="0" fillId="14" borderId="28" xfId="0" applyFont="1" applyFill="1" applyBorder="1" applyAlignment="1">
      <alignment horizontal="center" vertical="center" wrapText="1"/>
    </xf>
    <xf numFmtId="0" fontId="0" fillId="14" borderId="10" xfId="0" applyFont="1" applyFill="1" applyBorder="1" applyAlignment="1">
      <alignment horizontal="center" vertical="center" wrapText="1"/>
    </xf>
    <xf numFmtId="0" fontId="0" fillId="14" borderId="29" xfId="0" applyFont="1" applyFill="1" applyBorder="1" applyAlignment="1">
      <alignment horizontal="center" vertical="center" wrapText="1"/>
    </xf>
    <xf numFmtId="0" fontId="28" fillId="14" borderId="44" xfId="0" applyFont="1" applyFill="1" applyBorder="1" applyAlignment="1" applyProtection="1">
      <alignment horizontal="center" vertical="center" wrapText="1"/>
      <protection hidden="1"/>
    </xf>
    <xf numFmtId="0" fontId="26" fillId="14" borderId="45" xfId="0" applyFont="1" applyFill="1" applyBorder="1" applyAlignment="1">
      <alignment horizontal="center" vertical="center" wrapText="1"/>
    </xf>
    <xf numFmtId="0" fontId="0" fillId="14" borderId="46" xfId="0" applyFont="1" applyFill="1" applyBorder="1" applyAlignment="1">
      <alignment horizontal="center" vertical="center" wrapText="1"/>
    </xf>
    <xf numFmtId="0" fontId="26" fillId="14" borderId="46" xfId="0" applyFont="1" applyFill="1" applyBorder="1" applyAlignment="1">
      <alignment horizontal="center" vertical="center" wrapText="1"/>
    </xf>
    <xf numFmtId="0" fontId="0" fillId="14" borderId="47" xfId="0" applyFont="1" applyFill="1" applyBorder="1" applyAlignment="1">
      <alignment horizontal="center" vertical="center" wrapText="1"/>
    </xf>
    <xf numFmtId="0" fontId="0" fillId="14" borderId="36" xfId="0" applyFill="1" applyBorder="1" applyAlignment="1">
      <alignment horizontal="center"/>
    </xf>
    <xf numFmtId="0" fontId="0" fillId="14" borderId="25" xfId="0" applyFill="1" applyBorder="1" applyAlignment="1">
      <alignment horizontal="center" vertical="center"/>
    </xf>
    <xf numFmtId="0" fontId="0" fillId="0" borderId="10" xfId="0" applyBorder="1" applyAlignment="1">
      <alignment horizontal="left" vertical="center"/>
    </xf>
    <xf numFmtId="3" fontId="0" fillId="0" borderId="10" xfId="0" applyNumberFormat="1" applyFill="1" applyBorder="1" applyAlignment="1">
      <alignment horizontal="center" vertical="center"/>
    </xf>
    <xf numFmtId="3" fontId="0" fillId="0" borderId="11" xfId="0" applyNumberFormat="1" applyBorder="1" applyAlignment="1">
      <alignment horizontal="center" vertical="center"/>
    </xf>
    <xf numFmtId="1" fontId="0" fillId="0" borderId="28" xfId="0" applyNumberFormat="1" applyBorder="1" applyAlignment="1">
      <alignment horizontal="center" vertical="center"/>
    </xf>
    <xf numFmtId="1" fontId="0" fillId="0" borderId="15" xfId="0" applyNumberFormat="1" applyBorder="1" applyAlignment="1">
      <alignment horizontal="center" vertical="center"/>
    </xf>
    <xf numFmtId="1" fontId="0" fillId="0" borderId="10" xfId="0" applyNumberFormat="1" applyBorder="1" applyAlignment="1">
      <alignment horizontal="center" vertical="center"/>
    </xf>
    <xf numFmtId="1" fontId="0" fillId="0" borderId="16" xfId="0" applyNumberFormat="1" applyBorder="1" applyAlignment="1">
      <alignment horizontal="center" vertical="center"/>
    </xf>
    <xf numFmtId="3" fontId="0" fillId="0" borderId="48" xfId="0" applyNumberFormat="1" applyBorder="1" applyAlignment="1">
      <alignment horizontal="center" vertical="center"/>
    </xf>
    <xf numFmtId="166" fontId="0" fillId="0" borderId="15"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6" xfId="0" applyNumberFormat="1" applyBorder="1" applyAlignment="1">
      <alignment horizontal="center" vertical="center"/>
    </xf>
    <xf numFmtId="166" fontId="0" fillId="0" borderId="40" xfId="0" applyNumberFormat="1" applyBorder="1" applyAlignment="1">
      <alignment horizontal="center" vertical="center"/>
    </xf>
    <xf numFmtId="3" fontId="0" fillId="0" borderId="4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44" xfId="0" applyNumberFormat="1" applyBorder="1" applyAlignment="1">
      <alignment horizontal="center" vertical="center"/>
    </xf>
    <xf numFmtId="3" fontId="0" fillId="0" borderId="28" xfId="0" applyNumberFormat="1" applyBorder="1" applyAlignment="1">
      <alignment horizontal="center" vertical="center"/>
    </xf>
    <xf numFmtId="3" fontId="0" fillId="0" borderId="29" xfId="0" applyNumberFormat="1" applyBorder="1" applyAlignment="1">
      <alignment horizontal="center" vertical="center"/>
    </xf>
    <xf numFmtId="4" fontId="0" fillId="0" borderId="31" xfId="0" applyNumberFormat="1" applyBorder="1" applyAlignment="1">
      <alignment horizontal="center" vertical="center"/>
    </xf>
    <xf numFmtId="1" fontId="0" fillId="0" borderId="49" xfId="0" applyNumberFormat="1" applyBorder="1" applyAlignment="1">
      <alignment horizontal="center" vertical="center"/>
    </xf>
    <xf numFmtId="166" fontId="0" fillId="0" borderId="28" xfId="0" applyNumberFormat="1" applyBorder="1" applyAlignment="1">
      <alignment horizontal="center" vertical="center"/>
    </xf>
    <xf numFmtId="166" fontId="0" fillId="0" borderId="44" xfId="0" applyNumberFormat="1" applyBorder="1" applyAlignment="1">
      <alignment horizontal="center" vertical="center"/>
    </xf>
    <xf numFmtId="166" fontId="0" fillId="0" borderId="11" xfId="0" applyNumberFormat="1" applyBorder="1" applyAlignment="1">
      <alignment horizontal="center" vertical="center"/>
    </xf>
    <xf numFmtId="2" fontId="0" fillId="0" borderId="28" xfId="0" applyNumberFormat="1" applyBorder="1" applyAlignment="1">
      <alignment horizontal="center" vertical="center"/>
    </xf>
    <xf numFmtId="166" fontId="0" fillId="0" borderId="10" xfId="0" applyNumberFormat="1" applyBorder="1" applyAlignment="1">
      <alignment horizontal="center"/>
    </xf>
    <xf numFmtId="2" fontId="0" fillId="0" borderId="10" xfId="0" applyNumberFormat="1" applyBorder="1" applyAlignment="1">
      <alignment horizontal="center" vertical="center"/>
    </xf>
    <xf numFmtId="166" fontId="0" fillId="0" borderId="29" xfId="0" applyNumberFormat="1" applyBorder="1" applyAlignment="1">
      <alignment horizontal="center"/>
    </xf>
    <xf numFmtId="0" fontId="0" fillId="0" borderId="10" xfId="0" applyBorder="1"/>
    <xf numFmtId="0" fontId="30" fillId="0" borderId="11" xfId="0" applyFont="1" applyBorder="1"/>
    <xf numFmtId="0" fontId="0" fillId="0" borderId="2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166" fontId="0" fillId="0" borderId="29" xfId="0" applyNumberFormat="1" applyBorder="1" applyAlignment="1">
      <alignment horizontal="center" vertical="center"/>
    </xf>
    <xf numFmtId="0" fontId="0" fillId="14" borderId="50" xfId="0" applyFill="1" applyBorder="1" applyAlignment="1">
      <alignment horizontal="center" vertical="center"/>
    </xf>
    <xf numFmtId="0" fontId="0" fillId="14" borderId="33" xfId="0" applyFill="1" applyBorder="1" applyAlignment="1">
      <alignment horizontal="center" vertical="center"/>
    </xf>
    <xf numFmtId="0" fontId="0" fillId="14" borderId="34" xfId="0" applyFill="1" applyBorder="1" applyAlignment="1">
      <alignment horizontal="center" vertical="center"/>
    </xf>
    <xf numFmtId="0" fontId="29" fillId="0" borderId="16" xfId="0" applyFont="1" applyBorder="1" applyAlignment="1">
      <alignment horizontal="left"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0" fillId="0" borderId="40" xfId="0" applyBorder="1" applyAlignment="1">
      <alignment horizontal="center" vertical="center"/>
    </xf>
    <xf numFmtId="4" fontId="0" fillId="0" borderId="44" xfId="0" applyNumberFormat="1" applyBorder="1" applyAlignment="1">
      <alignment horizontal="center" vertical="center"/>
    </xf>
    <xf numFmtId="0" fontId="0" fillId="14" borderId="43" xfId="0" applyFill="1" applyBorder="1" applyAlignment="1">
      <alignment horizontal="center" vertical="center"/>
    </xf>
    <xf numFmtId="0" fontId="0" fillId="14" borderId="0" xfId="0" applyFill="1" applyBorder="1" applyAlignment="1">
      <alignment horizontal="center" vertical="center"/>
    </xf>
    <xf numFmtId="0" fontId="0" fillId="14" borderId="51" xfId="0" applyFill="1" applyBorder="1" applyAlignment="1">
      <alignment horizontal="center" vertical="center"/>
    </xf>
    <xf numFmtId="0" fontId="34" fillId="10" borderId="0" xfId="0" applyFont="1" applyFill="1" applyAlignment="1">
      <alignment horizontal="right"/>
    </xf>
    <xf numFmtId="0" fontId="9" fillId="0" borderId="10" xfId="0" applyFont="1" applyBorder="1" applyAlignment="1">
      <alignment horizontal="left" vertical="center"/>
    </xf>
    <xf numFmtId="0" fontId="26" fillId="0" borderId="10" xfId="0" applyFont="1" applyBorder="1" applyAlignment="1">
      <alignment horizontal="center" vertical="center"/>
    </xf>
    <xf numFmtId="0" fontId="35" fillId="0" borderId="10" xfId="0" applyFont="1" applyFill="1" applyBorder="1" applyAlignment="1">
      <alignment horizontal="center"/>
    </xf>
    <xf numFmtId="0" fontId="0" fillId="0" borderId="52" xfId="0" applyFont="1" applyBorder="1" applyAlignment="1">
      <alignment horizontal="center" vertical="center"/>
    </xf>
    <xf numFmtId="0" fontId="0" fillId="0" borderId="15" xfId="0" applyBorder="1" applyAlignment="1">
      <alignment horizontal="left" vertical="center"/>
    </xf>
    <xf numFmtId="3" fontId="35" fillId="0" borderId="15" xfId="0" applyNumberFormat="1" applyFont="1" applyFill="1" applyBorder="1" applyAlignment="1">
      <alignment horizontal="center"/>
    </xf>
    <xf numFmtId="0" fontId="35" fillId="0" borderId="15" xfId="0" applyFont="1" applyFill="1" applyBorder="1" applyAlignment="1">
      <alignment horizontal="center"/>
    </xf>
    <xf numFmtId="0" fontId="26" fillId="16" borderId="0" xfId="34" applyFont="1" applyFill="1" applyBorder="1" applyAlignment="1"/>
    <xf numFmtId="0" fontId="34" fillId="10" borderId="0" xfId="0" applyFont="1" applyFill="1" applyAlignment="1">
      <alignment horizontal="left"/>
    </xf>
    <xf numFmtId="0" fontId="0" fillId="0" borderId="0" xfId="0" applyAlignment="1">
      <alignment horizontal="left" vertical="center"/>
    </xf>
    <xf numFmtId="2" fontId="0" fillId="0" borderId="53" xfId="0" applyNumberFormat="1" applyBorder="1" applyAlignment="1">
      <alignment horizontal="center" vertical="center"/>
    </xf>
    <xf numFmtId="2" fontId="0" fillId="0" borderId="52" xfId="0" applyNumberFormat="1" applyBorder="1" applyAlignment="1">
      <alignment horizontal="center" vertical="center"/>
    </xf>
    <xf numFmtId="167" fontId="0" fillId="14" borderId="17" xfId="0" applyNumberFormat="1" applyFill="1" applyBorder="1" applyAlignment="1">
      <alignment horizontal="center" vertical="center"/>
    </xf>
    <xf numFmtId="167" fontId="0" fillId="14" borderId="18" xfId="0" applyNumberFormat="1" applyFill="1" applyBorder="1" applyAlignment="1">
      <alignment horizontal="center" vertical="center"/>
    </xf>
    <xf numFmtId="167" fontId="0" fillId="14" borderId="19" xfId="0" applyNumberFormat="1" applyFill="1" applyBorder="1" applyAlignment="1">
      <alignment horizontal="center" vertical="center"/>
    </xf>
    <xf numFmtId="167" fontId="0" fillId="14" borderId="20" xfId="0" applyNumberFormat="1" applyFill="1" applyBorder="1" applyAlignment="1">
      <alignment horizontal="center" vertical="center"/>
    </xf>
    <xf numFmtId="167" fontId="0" fillId="14" borderId="21" xfId="0" applyNumberForma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14" borderId="20" xfId="0" applyFont="1" applyFill="1" applyBorder="1" applyAlignment="1">
      <alignment horizontal="right" vertical="center"/>
    </xf>
    <xf numFmtId="166" fontId="0" fillId="14" borderId="17" xfId="0" applyNumberFormat="1" applyFill="1" applyBorder="1" applyAlignment="1">
      <alignment horizontal="center" vertical="center"/>
    </xf>
    <xf numFmtId="166" fontId="0" fillId="14" borderId="18" xfId="0" applyNumberFormat="1" applyFill="1" applyBorder="1" applyAlignment="1">
      <alignment horizontal="center" vertical="center"/>
    </xf>
    <xf numFmtId="166" fontId="0" fillId="14" borderId="27" xfId="0" applyNumberFormat="1" applyFill="1" applyBorder="1" applyAlignment="1">
      <alignment horizontal="center" vertical="center"/>
    </xf>
    <xf numFmtId="166" fontId="0" fillId="17" borderId="20" xfId="0" applyNumberFormat="1" applyFill="1" applyBorder="1" applyAlignment="1">
      <alignment horizontal="center" vertical="center"/>
    </xf>
    <xf numFmtId="166" fontId="0" fillId="14" borderId="20" xfId="0" applyNumberFormat="1" applyFill="1" applyBorder="1" applyAlignment="1">
      <alignment horizontal="center" vertical="center"/>
    </xf>
    <xf numFmtId="1" fontId="0" fillId="14" borderId="17" xfId="0" applyNumberFormat="1" applyFill="1" applyBorder="1" applyAlignment="1">
      <alignment horizontal="center" vertical="center"/>
    </xf>
    <xf numFmtId="1" fontId="0" fillId="14" borderId="18" xfId="0" applyNumberFormat="1" applyFill="1" applyBorder="1" applyAlignment="1">
      <alignment horizontal="center" vertical="center"/>
    </xf>
    <xf numFmtId="1" fontId="0" fillId="14" borderId="27" xfId="0" applyNumberFormat="1" applyFill="1" applyBorder="1" applyAlignment="1">
      <alignment horizontal="center" vertical="center"/>
    </xf>
    <xf numFmtId="1" fontId="28" fillId="14" borderId="24" xfId="0" applyNumberFormat="1" applyFont="1" applyFill="1" applyBorder="1" applyAlignment="1">
      <alignment horizontal="center" vertical="center"/>
    </xf>
    <xf numFmtId="1" fontId="28" fillId="14" borderId="56" xfId="0" applyNumberFormat="1" applyFont="1" applyFill="1" applyBorder="1" applyAlignment="1">
      <alignment horizontal="center" vertical="center"/>
    </xf>
    <xf numFmtId="166" fontId="28" fillId="14" borderId="56" xfId="0" applyNumberFormat="1" applyFont="1" applyFill="1" applyBorder="1" applyAlignment="1">
      <alignment horizontal="center" vertical="center"/>
    </xf>
    <xf numFmtId="167" fontId="0" fillId="0" borderId="0" xfId="0" applyNumberFormat="1" applyAlignment="1">
      <alignment horizontal="center" vertical="center"/>
    </xf>
    <xf numFmtId="0" fontId="0" fillId="0" borderId="38" xfId="0" applyBorder="1" applyAlignment="1">
      <alignment horizontal="center" vertical="center"/>
    </xf>
    <xf numFmtId="0" fontId="0" fillId="14" borderId="24" xfId="0" applyFill="1" applyBorder="1" applyAlignment="1">
      <alignment horizontal="center" vertical="center"/>
    </xf>
    <xf numFmtId="0" fontId="0" fillId="14" borderId="56" xfId="0" applyFont="1" applyFill="1" applyBorder="1" applyAlignment="1">
      <alignment horizontal="right" vertical="center"/>
    </xf>
    <xf numFmtId="166" fontId="0" fillId="14" borderId="21" xfId="0" applyNumberFormat="1" applyFill="1" applyBorder="1" applyAlignment="1">
      <alignment horizontal="center" vertical="center"/>
    </xf>
    <xf numFmtId="166" fontId="0" fillId="17" borderId="56" xfId="0" applyNumberFormat="1" applyFill="1" applyBorder="1" applyAlignment="1">
      <alignment horizontal="center" vertical="center"/>
    </xf>
    <xf numFmtId="166" fontId="0" fillId="14" borderId="56" xfId="0" applyNumberFormat="1" applyFill="1" applyBorder="1" applyAlignment="1">
      <alignment horizontal="center" vertical="center"/>
    </xf>
    <xf numFmtId="166" fontId="0" fillId="14" borderId="21" xfId="0" applyNumberFormat="1" applyFont="1" applyFill="1" applyBorder="1" applyAlignment="1">
      <alignment horizontal="left" vertical="center"/>
    </xf>
    <xf numFmtId="0" fontId="0" fillId="0" borderId="0" xfId="0" applyFont="1" applyAlignment="1">
      <alignment horizontal="right"/>
    </xf>
    <xf numFmtId="4" fontId="0" fillId="0" borderId="0" xfId="0" applyNumberFormat="1"/>
    <xf numFmtId="0" fontId="23" fillId="12" borderId="11" xfId="0" applyFont="1" applyFill="1" applyBorder="1" applyAlignment="1" applyProtection="1">
      <alignment horizontal="left"/>
    </xf>
    <xf numFmtId="0" fontId="36" fillId="12" borderId="16" xfId="0" applyFont="1" applyFill="1" applyBorder="1" applyAlignment="1" applyProtection="1">
      <alignment horizontal="left"/>
    </xf>
    <xf numFmtId="0" fontId="37" fillId="12" borderId="16" xfId="0" applyFont="1" applyFill="1" applyBorder="1" applyAlignment="1" applyProtection="1">
      <alignment horizontal="left"/>
      <protection locked="0"/>
    </xf>
    <xf numFmtId="0" fontId="0" fillId="12" borderId="16" xfId="0" applyFill="1" applyBorder="1" applyAlignment="1">
      <alignment horizontal="center" vertical="center"/>
    </xf>
    <xf numFmtId="0" fontId="38" fillId="12" borderId="10" xfId="0" applyFont="1" applyFill="1" applyBorder="1" applyAlignment="1" applyProtection="1">
      <alignment horizontal="center" vertical="center"/>
      <protection locked="0"/>
    </xf>
    <xf numFmtId="0" fontId="38" fillId="12" borderId="10" xfId="0" applyFont="1" applyFill="1" applyBorder="1" applyAlignment="1" applyProtection="1">
      <alignment horizontal="center"/>
      <protection locked="0"/>
    </xf>
    <xf numFmtId="0" fontId="0" fillId="12" borderId="15" xfId="0" applyFill="1" applyBorder="1" applyAlignment="1">
      <alignment horizontal="center" vertical="center"/>
    </xf>
    <xf numFmtId="0" fontId="38" fillId="9" borderId="52" xfId="0" applyFont="1" applyFill="1" applyBorder="1" applyAlignment="1">
      <alignment horizontal="right" vertical="center"/>
    </xf>
    <xf numFmtId="167" fontId="39" fillId="9" borderId="57" xfId="0" applyNumberFormat="1" applyFont="1" applyFill="1" applyBorder="1" applyAlignment="1">
      <alignment horizontal="center" vertical="center"/>
    </xf>
    <xf numFmtId="167" fontId="38" fillId="9" borderId="57" xfId="0" applyNumberFormat="1" applyFont="1" applyFill="1" applyBorder="1" applyAlignment="1">
      <alignment horizontal="center" vertical="center"/>
    </xf>
    <xf numFmtId="167" fontId="39" fillId="9" borderId="14" xfId="0" applyNumberFormat="1" applyFont="1" applyFill="1" applyBorder="1" applyAlignment="1">
      <alignment horizontal="center" vertical="center"/>
    </xf>
    <xf numFmtId="166" fontId="0" fillId="14" borderId="58" xfId="0" applyNumberFormat="1" applyFill="1" applyBorder="1" applyAlignment="1">
      <alignment horizontal="center" vertical="center"/>
    </xf>
    <xf numFmtId="0" fontId="9" fillId="12" borderId="24" xfId="0" applyFont="1" applyFill="1" applyBorder="1" applyAlignment="1">
      <alignment horizontal="center" vertical="center"/>
    </xf>
    <xf numFmtId="1" fontId="9" fillId="12" borderId="25" xfId="0" applyNumberFormat="1" applyFont="1" applyFill="1" applyBorder="1" applyAlignment="1">
      <alignment horizontal="center"/>
    </xf>
    <xf numFmtId="0" fontId="9" fillId="12" borderId="25" xfId="0" applyFont="1" applyFill="1" applyBorder="1" applyAlignment="1">
      <alignment horizontal="center"/>
    </xf>
    <xf numFmtId="0" fontId="28" fillId="0" borderId="10" xfId="0" applyFont="1" applyBorder="1" applyAlignment="1">
      <alignment horizontal="left" vertical="center"/>
    </xf>
    <xf numFmtId="0" fontId="0" fillId="0" borderId="46"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4" fontId="0" fillId="0" borderId="61" xfId="0" applyNumberFormat="1" applyFill="1" applyBorder="1" applyAlignment="1">
      <alignment horizontal="center" vertical="center"/>
    </xf>
    <xf numFmtId="0" fontId="0" fillId="0" borderId="0" xfId="0" applyBorder="1" applyAlignment="1">
      <alignment horizontal="center" vertical="center"/>
    </xf>
    <xf numFmtId="0" fontId="0" fillId="10" borderId="46" xfId="0" applyFill="1" applyBorder="1" applyAlignment="1">
      <alignment horizontal="center" vertical="center"/>
    </xf>
    <xf numFmtId="0" fontId="0" fillId="0" borderId="0" xfId="0" applyFont="1" applyAlignment="1">
      <alignment horizontal="right" vertical="center"/>
    </xf>
    <xf numFmtId="0" fontId="0" fillId="18" borderId="10" xfId="0" applyFill="1" applyBorder="1" applyAlignment="1">
      <alignment horizontal="center" vertical="center"/>
    </xf>
    <xf numFmtId="0" fontId="0" fillId="0" borderId="11" xfId="0" applyBorder="1" applyAlignment="1">
      <alignment horizontal="center" vertical="center"/>
    </xf>
    <xf numFmtId="0" fontId="0" fillId="10" borderId="10" xfId="0" applyFill="1" applyBorder="1" applyAlignment="1">
      <alignment horizontal="center" vertical="center"/>
    </xf>
    <xf numFmtId="0" fontId="0" fillId="0" borderId="16" xfId="34" applyFont="1" applyBorder="1" applyAlignment="1">
      <alignment vertical="center"/>
    </xf>
    <xf numFmtId="166" fontId="0" fillId="0" borderId="10" xfId="34" applyNumberFormat="1" applyFont="1" applyBorder="1" applyAlignment="1">
      <alignment horizontal="center" vertical="center" wrapText="1"/>
    </xf>
    <xf numFmtId="0" fontId="0" fillId="0" borderId="10" xfId="34" applyFont="1" applyBorder="1" applyAlignment="1">
      <alignment horizontal="center" vertical="center" wrapText="1"/>
    </xf>
    <xf numFmtId="0" fontId="28" fillId="0" borderId="11" xfId="0" applyFont="1" applyBorder="1" applyAlignment="1">
      <alignment horizontal="left" vertical="center"/>
    </xf>
    <xf numFmtId="0" fontId="0" fillId="0" borderId="15" xfId="0" applyBorder="1"/>
    <xf numFmtId="0" fontId="0" fillId="0" borderId="62" xfId="0" applyBorder="1" applyAlignment="1">
      <alignment horizontal="center" vertical="center"/>
    </xf>
    <xf numFmtId="0" fontId="0" fillId="0" borderId="63" xfId="0" applyBorder="1" applyAlignment="1">
      <alignment horizontal="center" vertical="center"/>
    </xf>
    <xf numFmtId="0" fontId="0" fillId="0" borderId="11" xfId="0" applyBorder="1" applyAlignment="1">
      <alignment horizontal="left" vertical="center"/>
    </xf>
    <xf numFmtId="0" fontId="0" fillId="19" borderId="15" xfId="0" applyFont="1" applyFill="1" applyBorder="1" applyAlignment="1">
      <alignment horizontal="center" vertical="center"/>
    </xf>
    <xf numFmtId="0" fontId="0" fillId="19" borderId="10" xfId="0" applyFill="1" applyBorder="1" applyAlignment="1">
      <alignment horizontal="center" vertical="center"/>
    </xf>
    <xf numFmtId="1" fontId="0" fillId="19" borderId="10" xfId="0" applyNumberFormat="1" applyFill="1" applyBorder="1" applyAlignment="1">
      <alignment horizontal="center" vertical="center"/>
    </xf>
    <xf numFmtId="1" fontId="0" fillId="19" borderId="16" xfId="0" applyNumberFormat="1" applyFill="1" applyBorder="1" applyAlignment="1">
      <alignment horizontal="center" vertical="center"/>
    </xf>
    <xf numFmtId="167" fontId="28" fillId="14" borderId="10" xfId="0" applyNumberFormat="1" applyFont="1" applyFill="1" applyBorder="1" applyAlignment="1">
      <alignment horizontal="center" vertical="center"/>
    </xf>
    <xf numFmtId="0" fontId="0" fillId="14" borderId="40" xfId="0" applyFill="1" applyBorder="1" applyAlignment="1">
      <alignment horizontal="center" vertical="center"/>
    </xf>
    <xf numFmtId="0" fontId="0" fillId="14" borderId="44" xfId="0" applyFill="1" applyBorder="1" applyAlignment="1">
      <alignment horizontal="center" vertical="center"/>
    </xf>
    <xf numFmtId="1" fontId="0" fillId="14" borderId="10" xfId="0" applyNumberFormat="1" applyFill="1" applyBorder="1" applyAlignment="1">
      <alignment horizontal="center" vertical="center"/>
    </xf>
    <xf numFmtId="1" fontId="0" fillId="14" borderId="11" xfId="0" applyNumberFormat="1" applyFill="1" applyBorder="1" applyAlignment="1">
      <alignment horizontal="center" vertical="center"/>
    </xf>
    <xf numFmtId="3" fontId="0" fillId="14" borderId="56" xfId="0" applyNumberFormat="1" applyFill="1" applyBorder="1" applyAlignment="1">
      <alignment horizontal="center" vertical="center"/>
    </xf>
    <xf numFmtId="1" fontId="0" fillId="14" borderId="15" xfId="0" applyNumberFormat="1" applyFill="1" applyBorder="1" applyAlignment="1">
      <alignment horizontal="center" vertical="center"/>
    </xf>
    <xf numFmtId="0" fontId="28" fillId="0" borderId="0" xfId="0" applyFont="1" applyBorder="1" applyAlignment="1">
      <alignment horizontal="center"/>
    </xf>
    <xf numFmtId="1" fontId="0" fillId="14" borderId="52" xfId="0" applyNumberFormat="1" applyFill="1" applyBorder="1" applyAlignment="1">
      <alignment horizontal="center" vertical="center"/>
    </xf>
    <xf numFmtId="3" fontId="0" fillId="14" borderId="30" xfId="0" applyNumberFormat="1" applyFill="1" applyBorder="1" applyAlignment="1">
      <alignment horizontal="center" vertical="center"/>
    </xf>
    <xf numFmtId="0" fontId="0" fillId="19" borderId="63" xfId="0" applyFont="1" applyFill="1" applyBorder="1" applyAlignment="1">
      <alignment horizontal="center" vertical="center"/>
    </xf>
    <xf numFmtId="3" fontId="0" fillId="14" borderId="35" xfId="0" applyNumberFormat="1" applyFill="1" applyBorder="1" applyAlignment="1">
      <alignment horizontal="center" vertical="center"/>
    </xf>
    <xf numFmtId="3" fontId="0" fillId="14" borderId="37" xfId="0" applyNumberFormat="1" applyFill="1" applyBorder="1" applyAlignment="1">
      <alignment horizontal="center" vertical="center"/>
    </xf>
    <xf numFmtId="0" fontId="15" fillId="9" borderId="0" xfId="0" applyFont="1" applyFill="1" applyBorder="1" applyAlignment="1">
      <alignment horizontal="center" vertical="center" wrapText="1"/>
    </xf>
    <xf numFmtId="0" fontId="0" fillId="0" borderId="16" xfId="0" applyBorder="1"/>
    <xf numFmtId="0" fontId="0" fillId="19" borderId="60" xfId="0" applyFont="1" applyFill="1" applyBorder="1" applyAlignment="1">
      <alignment horizontal="center" vertical="center"/>
    </xf>
    <xf numFmtId="0" fontId="0" fillId="12" borderId="24" xfId="0" applyFill="1" applyBorder="1" applyAlignment="1">
      <alignment horizontal="center" vertical="center"/>
    </xf>
    <xf numFmtId="0" fontId="0" fillId="12" borderId="25" xfId="0" applyFill="1" applyBorder="1" applyAlignment="1">
      <alignment horizontal="center" vertical="center"/>
    </xf>
    <xf numFmtId="0" fontId="9" fillId="12" borderId="25" xfId="0" applyFont="1" applyFill="1" applyBorder="1" applyAlignment="1">
      <alignment horizontal="right" vertical="center"/>
    </xf>
    <xf numFmtId="3" fontId="0" fillId="12" borderId="56" xfId="0" applyNumberFormat="1" applyFill="1" applyBorder="1" applyAlignment="1">
      <alignment horizontal="center" vertical="center"/>
    </xf>
    <xf numFmtId="0" fontId="0" fillId="12" borderId="50" xfId="0" applyFill="1" applyBorder="1" applyAlignment="1">
      <alignment horizontal="center" vertical="center"/>
    </xf>
    <xf numFmtId="0" fontId="0" fillId="12" borderId="33" xfId="0" applyFill="1" applyBorder="1" applyAlignment="1">
      <alignment horizontal="center" vertical="center"/>
    </xf>
    <xf numFmtId="0" fontId="28" fillId="19" borderId="52" xfId="0" applyFont="1" applyFill="1" applyBorder="1" applyAlignment="1">
      <alignment horizontal="left" vertical="center" indent="3"/>
    </xf>
    <xf numFmtId="0" fontId="28" fillId="19" borderId="64" xfId="0" applyFont="1" applyFill="1" applyBorder="1" applyAlignment="1">
      <alignment vertical="center"/>
    </xf>
    <xf numFmtId="0" fontId="28" fillId="19" borderId="63" xfId="0" applyFont="1" applyFill="1" applyBorder="1" applyAlignment="1">
      <alignment vertical="center"/>
    </xf>
    <xf numFmtId="167" fontId="28" fillId="14" borderId="51" xfId="0" applyNumberFormat="1" applyFont="1" applyFill="1" applyBorder="1" applyAlignment="1">
      <alignment horizontal="center" vertical="center"/>
    </xf>
    <xf numFmtId="3" fontId="0" fillId="12" borderId="24" xfId="0" applyNumberFormat="1" applyFill="1" applyBorder="1" applyAlignment="1">
      <alignment horizontal="center" vertical="center"/>
    </xf>
    <xf numFmtId="0" fontId="0" fillId="10" borderId="11" xfId="0" applyFont="1" applyFill="1" applyBorder="1" applyAlignment="1">
      <alignment horizontal="left" vertical="center"/>
    </xf>
    <xf numFmtId="0" fontId="0" fillId="10" borderId="16" xfId="0" applyFill="1" applyBorder="1" applyAlignment="1">
      <alignment horizontal="center" vertical="center"/>
    </xf>
    <xf numFmtId="0" fontId="0" fillId="10" borderId="15" xfId="0" applyFill="1" applyBorder="1" applyAlignment="1">
      <alignment horizontal="center" vertical="center"/>
    </xf>
    <xf numFmtId="0" fontId="28" fillId="14" borderId="24" xfId="0" applyFont="1" applyFill="1" applyBorder="1" applyAlignment="1">
      <alignment horizontal="left" vertical="center" indent="3"/>
    </xf>
    <xf numFmtId="0" fontId="28" fillId="14" borderId="25" xfId="0" applyFont="1" applyFill="1" applyBorder="1" applyAlignment="1">
      <alignment vertical="center"/>
    </xf>
    <xf numFmtId="167" fontId="40" fillId="19" borderId="56" xfId="0" applyNumberFormat="1" applyFont="1" applyFill="1" applyBorder="1" applyAlignment="1">
      <alignment horizontal="center" vertical="center" shrinkToFit="1"/>
    </xf>
    <xf numFmtId="0" fontId="17" fillId="19" borderId="49" xfId="0" applyFont="1" applyFill="1" applyBorder="1" applyAlignment="1">
      <alignment horizontal="left" vertical="center"/>
    </xf>
    <xf numFmtId="1" fontId="9" fillId="14" borderId="24" xfId="0" applyNumberFormat="1" applyFont="1" applyFill="1" applyBorder="1" applyAlignment="1">
      <alignment horizontal="center" vertical="center"/>
    </xf>
    <xf numFmtId="0" fontId="28" fillId="10" borderId="11" xfId="0" applyFont="1" applyFill="1" applyBorder="1" applyAlignment="1">
      <alignment horizontal="left" vertical="center"/>
    </xf>
    <xf numFmtId="0" fontId="0" fillId="0" borderId="52" xfId="0" applyBorder="1" applyAlignment="1">
      <alignment horizontal="center" vertical="center"/>
    </xf>
    <xf numFmtId="0" fontId="0" fillId="14" borderId="65" xfId="0" applyFont="1" applyFill="1" applyBorder="1" applyAlignment="1">
      <alignment horizontal="center" vertical="center"/>
    </xf>
    <xf numFmtId="0" fontId="0" fillId="14" borderId="46" xfId="0" applyFill="1" applyBorder="1" applyAlignment="1">
      <alignment horizontal="center" vertical="center"/>
    </xf>
    <xf numFmtId="1" fontId="0" fillId="14" borderId="66" xfId="0" applyNumberFormat="1" applyFill="1" applyBorder="1" applyAlignment="1">
      <alignment horizontal="center" vertical="center"/>
    </xf>
    <xf numFmtId="3" fontId="0" fillId="14" borderId="41" xfId="0" applyNumberFormat="1" applyFill="1" applyBorder="1" applyAlignment="1">
      <alignment horizontal="center" vertical="center"/>
    </xf>
    <xf numFmtId="0" fontId="0" fillId="14" borderId="52" xfId="0" applyFont="1" applyFill="1" applyBorder="1" applyAlignment="1">
      <alignment horizontal="center" vertical="center"/>
    </xf>
    <xf numFmtId="0" fontId="0" fillId="14" borderId="62" xfId="0" applyFill="1" applyBorder="1" applyAlignment="1">
      <alignment horizontal="center" vertical="center"/>
    </xf>
    <xf numFmtId="167" fontId="15" fillId="14" borderId="24" xfId="0" applyNumberFormat="1" applyFont="1" applyFill="1" applyBorder="1" applyAlignment="1">
      <alignment horizontal="center" vertical="center"/>
    </xf>
    <xf numFmtId="0" fontId="9" fillId="19" borderId="35" xfId="0" applyFont="1" applyFill="1" applyBorder="1" applyAlignment="1">
      <alignment horizontal="left" vertical="center"/>
    </xf>
    <xf numFmtId="0" fontId="0" fillId="19" borderId="25" xfId="0" applyFill="1" applyBorder="1"/>
    <xf numFmtId="0" fontId="0" fillId="19" borderId="25" xfId="0" applyFill="1" applyBorder="1" applyAlignment="1">
      <alignment horizontal="center" vertical="center"/>
    </xf>
    <xf numFmtId="3" fontId="15" fillId="14" borderId="24" xfId="0" applyNumberFormat="1" applyFont="1" applyFill="1" applyBorder="1" applyAlignment="1">
      <alignment horizontal="center" vertical="center"/>
    </xf>
    <xf numFmtId="0" fontId="9" fillId="0" borderId="0" xfId="0" applyFont="1"/>
    <xf numFmtId="0" fontId="41" fillId="16" borderId="0" xfId="34" applyFont="1" applyFill="1" applyAlignment="1"/>
    <xf numFmtId="0" fontId="0" fillId="19" borderId="10" xfId="0" applyFont="1" applyFill="1" applyBorder="1"/>
    <xf numFmtId="0" fontId="0" fillId="19" borderId="10" xfId="0" applyFont="1" applyFill="1" applyBorder="1" applyAlignment="1">
      <alignment horizontal="center" vertical="center"/>
    </xf>
    <xf numFmtId="3" fontId="0" fillId="0" borderId="10" xfId="0" applyNumberFormat="1" applyBorder="1" applyAlignment="1">
      <alignment horizontal="center"/>
    </xf>
    <xf numFmtId="0" fontId="23" fillId="0" borderId="0" xfId="0" applyFont="1" applyAlignment="1">
      <alignment horizontal="left" vertical="center"/>
    </xf>
    <xf numFmtId="0" fontId="0" fillId="12" borderId="11" xfId="0" applyFont="1" applyFill="1" applyBorder="1" applyAlignment="1">
      <alignment horizontal="left" vertical="center"/>
    </xf>
    <xf numFmtId="0" fontId="0" fillId="12" borderId="16" xfId="0" applyFill="1" applyBorder="1" applyAlignment="1">
      <alignment horizontal="left" vertical="center"/>
    </xf>
    <xf numFmtId="0" fontId="0" fillId="12" borderId="15" xfId="0" applyFill="1" applyBorder="1" applyAlignment="1">
      <alignment horizontal="left" vertical="center"/>
    </xf>
    <xf numFmtId="0" fontId="0" fillId="12" borderId="64" xfId="0" applyFill="1" applyBorder="1" applyAlignment="1">
      <alignment horizontal="center" vertical="center"/>
    </xf>
    <xf numFmtId="0" fontId="0" fillId="12" borderId="64" xfId="0" applyFont="1" applyFill="1" applyBorder="1" applyAlignment="1">
      <alignment horizontal="left" vertical="center"/>
    </xf>
    <xf numFmtId="0" fontId="0" fillId="12" borderId="63" xfId="0" applyFill="1" applyBorder="1" applyAlignment="1">
      <alignment horizontal="left" vertical="center"/>
    </xf>
    <xf numFmtId="0" fontId="27" fillId="12" borderId="10" xfId="0" applyFont="1" applyFill="1" applyBorder="1" applyAlignment="1" applyProtection="1">
      <alignment horizontal="right" vertical="center"/>
      <protection locked="0"/>
    </xf>
    <xf numFmtId="0" fontId="37" fillId="12" borderId="11" xfId="0" applyFont="1" applyFill="1" applyBorder="1" applyAlignment="1" applyProtection="1">
      <alignment horizontal="center" vertical="center"/>
      <protection locked="0"/>
    </xf>
    <xf numFmtId="0" fontId="0" fillId="12" borderId="10" xfId="0" applyFont="1" applyFill="1" applyBorder="1" applyAlignment="1" applyProtection="1">
      <alignment horizontal="center" vertical="center"/>
    </xf>
    <xf numFmtId="0" fontId="0" fillId="12" borderId="16" xfId="0" applyFont="1" applyFill="1" applyBorder="1" applyAlignment="1" applyProtection="1">
      <alignment horizontal="center" vertical="center"/>
    </xf>
    <xf numFmtId="0" fontId="0" fillId="12" borderId="11" xfId="0" applyFont="1" applyFill="1" applyBorder="1" applyAlignment="1" applyProtection="1">
      <alignment horizontal="center" vertical="center"/>
    </xf>
    <xf numFmtId="0" fontId="0" fillId="12" borderId="10" xfId="0" applyFont="1" applyFill="1" applyBorder="1" applyAlignment="1">
      <alignment horizontal="center" vertical="center"/>
    </xf>
    <xf numFmtId="0" fontId="9" fillId="12" borderId="10" xfId="0" applyFont="1" applyFill="1" applyBorder="1" applyAlignment="1">
      <alignment horizontal="center" vertical="center"/>
    </xf>
    <xf numFmtId="0" fontId="0" fillId="14" borderId="23" xfId="0" applyFill="1" applyBorder="1" applyAlignment="1">
      <alignment horizontal="center" vertical="center"/>
    </xf>
    <xf numFmtId="0" fontId="0" fillId="14" borderId="67" xfId="0" applyFill="1" applyBorder="1" applyAlignment="1">
      <alignment horizontal="center" vertical="center"/>
    </xf>
    <xf numFmtId="0" fontId="27" fillId="14" borderId="11" xfId="0" applyFont="1" applyFill="1" applyBorder="1" applyAlignment="1" applyProtection="1">
      <alignment horizontal="right" vertical="center"/>
      <protection locked="0"/>
    </xf>
    <xf numFmtId="1" fontId="0" fillId="14" borderId="11" xfId="0" applyNumberFormat="1" applyFont="1" applyFill="1" applyBorder="1" applyAlignment="1" applyProtection="1">
      <alignment horizontal="center" vertical="center"/>
      <protection hidden="1"/>
    </xf>
    <xf numFmtId="166" fontId="0" fillId="14" borderId="10" xfId="0" applyNumberFormat="1" applyFont="1" applyFill="1" applyBorder="1" applyAlignment="1" applyProtection="1">
      <alignment horizontal="center" vertical="center"/>
      <protection hidden="1"/>
    </xf>
    <xf numFmtId="166" fontId="0" fillId="14" borderId="11" xfId="0" applyNumberFormat="1" applyFont="1" applyFill="1" applyBorder="1" applyAlignment="1" applyProtection="1">
      <alignment horizontal="center" vertical="center"/>
      <protection hidden="1"/>
    </xf>
    <xf numFmtId="0" fontId="0" fillId="0" borderId="45" xfId="0" applyFont="1" applyBorder="1" applyAlignment="1">
      <alignment horizontal="center" vertical="center"/>
    </xf>
    <xf numFmtId="0" fontId="0" fillId="0" borderId="47" xfId="0" applyBorder="1" applyAlignment="1">
      <alignment horizontal="center" vertical="center"/>
    </xf>
    <xf numFmtId="0" fontId="0" fillId="14" borderId="37" xfId="0" applyFont="1" applyFill="1" applyBorder="1"/>
    <xf numFmtId="0" fontId="0" fillId="14" borderId="25" xfId="0" applyFont="1" applyFill="1" applyBorder="1" applyAlignment="1">
      <alignment horizontal="left" vertical="center"/>
    </xf>
    <xf numFmtId="0" fontId="0" fillId="14" borderId="10" xfId="0" applyFont="1" applyFill="1" applyBorder="1" applyAlignment="1">
      <alignment horizontal="center" vertical="center"/>
    </xf>
    <xf numFmtId="0" fontId="0" fillId="16" borderId="68" xfId="0" applyFill="1" applyBorder="1" applyAlignment="1"/>
    <xf numFmtId="0" fontId="42" fillId="16" borderId="57" xfId="0" applyFont="1" applyFill="1" applyBorder="1" applyAlignment="1">
      <alignment horizontal="center"/>
    </xf>
    <xf numFmtId="0" fontId="0" fillId="16" borderId="69" xfId="0" applyFill="1" applyBorder="1" applyAlignment="1"/>
    <xf numFmtId="2" fontId="0" fillId="16" borderId="33" xfId="0" applyNumberFormat="1" applyFill="1" applyBorder="1" applyAlignment="1"/>
    <xf numFmtId="2" fontId="0" fillId="16" borderId="34" xfId="0" applyNumberFormat="1" applyFill="1" applyBorder="1" applyAlignment="1"/>
    <xf numFmtId="0" fontId="29" fillId="0" borderId="0" xfId="0" applyFont="1" applyBorder="1" applyAlignment="1">
      <alignment horizontal="center" vertical="center"/>
    </xf>
    <xf numFmtId="2" fontId="0" fillId="0" borderId="0" xfId="0" applyNumberFormat="1" applyAlignment="1">
      <alignment horizontal="center" vertical="center"/>
    </xf>
    <xf numFmtId="0" fontId="9" fillId="0" borderId="0" xfId="0" applyFont="1" applyAlignment="1">
      <alignment horizontal="left" vertical="center"/>
    </xf>
    <xf numFmtId="0" fontId="0" fillId="16" borderId="70" xfId="0" applyFill="1" applyBorder="1" applyAlignment="1"/>
    <xf numFmtId="0" fontId="0" fillId="16" borderId="0" xfId="0" applyFill="1" applyBorder="1" applyAlignment="1"/>
    <xf numFmtId="0" fontId="0" fillId="16" borderId="61" xfId="0" applyFill="1" applyBorder="1" applyAlignment="1"/>
    <xf numFmtId="2" fontId="42" fillId="16" borderId="10" xfId="0" applyNumberFormat="1" applyFont="1" applyFill="1" applyBorder="1" applyAlignment="1">
      <alignment horizontal="center"/>
    </xf>
    <xf numFmtId="2" fontId="42" fillId="16" borderId="29" xfId="0" applyNumberFormat="1" applyFont="1" applyFill="1" applyBorder="1" applyAlignment="1">
      <alignment horizontal="center"/>
    </xf>
    <xf numFmtId="167" fontId="39" fillId="20" borderId="10" xfId="0" applyNumberFormat="1" applyFont="1" applyFill="1" applyBorder="1" applyAlignment="1">
      <alignment horizontal="center" vertical="center" shrinkToFit="1"/>
    </xf>
    <xf numFmtId="4" fontId="0" fillId="20" borderId="61" xfId="0" applyNumberFormat="1" applyFill="1" applyBorder="1" applyAlignment="1">
      <alignment horizontal="center" vertical="center"/>
    </xf>
    <xf numFmtId="166" fontId="0" fillId="0" borderId="26" xfId="0" applyNumberFormat="1" applyBorder="1" applyAlignment="1">
      <alignment horizontal="center" vertical="center"/>
    </xf>
    <xf numFmtId="0" fontId="42" fillId="16" borderId="10" xfId="0" applyFont="1" applyFill="1" applyBorder="1" applyAlignment="1">
      <alignment horizontal="center"/>
    </xf>
    <xf numFmtId="2" fontId="0" fillId="16" borderId="0" xfId="0" applyNumberFormat="1" applyFill="1" applyBorder="1" applyAlignment="1"/>
    <xf numFmtId="2" fontId="0" fillId="16" borderId="51" xfId="0" applyNumberFormat="1" applyFill="1" applyBorder="1" applyAlignment="1"/>
    <xf numFmtId="0" fontId="0" fillId="12" borderId="71" xfId="0" applyFill="1" applyBorder="1" applyAlignment="1">
      <alignment horizontal="right" vertical="center"/>
    </xf>
    <xf numFmtId="0" fontId="0" fillId="12" borderId="72" xfId="0" applyFill="1" applyBorder="1" applyAlignment="1">
      <alignment horizontal="center" vertical="center"/>
    </xf>
    <xf numFmtId="166" fontId="9" fillId="12" borderId="10" xfId="0" applyNumberFormat="1" applyFont="1" applyFill="1" applyBorder="1" applyAlignment="1">
      <alignment horizontal="center" vertical="center"/>
    </xf>
    <xf numFmtId="166" fontId="9" fillId="12" borderId="10" xfId="0" applyNumberFormat="1" applyFont="1" applyFill="1" applyBorder="1" applyAlignment="1">
      <alignment horizontal="center" vertical="center" shrinkToFit="1"/>
    </xf>
    <xf numFmtId="0" fontId="42" fillId="16" borderId="29" xfId="0" applyFont="1" applyFill="1" applyBorder="1" applyAlignment="1">
      <alignment horizontal="center"/>
    </xf>
    <xf numFmtId="0" fontId="15" fillId="0" borderId="0" xfId="0" applyFont="1" applyAlignment="1">
      <alignment horizontal="left" vertical="center"/>
    </xf>
    <xf numFmtId="167" fontId="15" fillId="20" borderId="10" xfId="0" applyNumberFormat="1" applyFont="1" applyFill="1" applyBorder="1" applyAlignment="1">
      <alignment horizontal="center" vertical="center"/>
    </xf>
    <xf numFmtId="4" fontId="15" fillId="20" borderId="61" xfId="0" applyNumberFormat="1" applyFont="1" applyFill="1" applyBorder="1" applyAlignment="1">
      <alignment horizontal="center" vertical="center"/>
    </xf>
    <xf numFmtId="0" fontId="0" fillId="0" borderId="26" xfId="0" applyBorder="1" applyAlignment="1">
      <alignment horizontal="center" vertical="center"/>
    </xf>
    <xf numFmtId="166" fontId="9" fillId="0" borderId="30" xfId="0" applyNumberFormat="1" applyFont="1" applyBorder="1" applyAlignment="1">
      <alignment horizontal="center" vertical="center"/>
    </xf>
    <xf numFmtId="0" fontId="27" fillId="19" borderId="11" xfId="0" applyFont="1" applyFill="1" applyBorder="1" applyAlignment="1">
      <alignment horizontal="left" vertical="center"/>
    </xf>
    <xf numFmtId="0" fontId="0" fillId="19" borderId="16" xfId="0" applyFill="1" applyBorder="1"/>
    <xf numFmtId="0" fontId="0" fillId="19" borderId="16" xfId="0" applyFill="1" applyBorder="1" applyAlignment="1">
      <alignment horizontal="center" vertical="center"/>
    </xf>
    <xf numFmtId="0" fontId="40" fillId="19" borderId="29" xfId="0" applyFont="1" applyFill="1" applyBorder="1" applyAlignment="1">
      <alignment horizontal="left" vertical="center"/>
    </xf>
    <xf numFmtId="167" fontId="0" fillId="0" borderId="10" xfId="0" applyNumberFormat="1" applyFont="1" applyBorder="1" applyAlignment="1">
      <alignment horizontal="center" vertical="center"/>
    </xf>
    <xf numFmtId="0" fontId="43" fillId="0" borderId="0" xfId="0" applyFont="1" applyAlignment="1">
      <alignment horizontal="left" vertical="center"/>
    </xf>
    <xf numFmtId="3" fontId="0" fillId="0" borderId="10" xfId="0" applyNumberFormat="1" applyBorder="1" applyAlignment="1">
      <alignment horizontal="center" vertical="center"/>
    </xf>
    <xf numFmtId="0" fontId="29" fillId="0" borderId="0" xfId="0" applyFont="1" applyAlignment="1">
      <alignment horizontal="left" vertical="center"/>
    </xf>
    <xf numFmtId="0" fontId="0" fillId="19" borderId="11" xfId="0" applyFont="1" applyFill="1" applyBorder="1" applyAlignment="1">
      <alignment horizontal="left" vertical="center"/>
    </xf>
    <xf numFmtId="0" fontId="0" fillId="21" borderId="10" xfId="0" applyFill="1" applyBorder="1" applyAlignment="1">
      <alignment horizontal="center" vertical="center"/>
    </xf>
    <xf numFmtId="0" fontId="0" fillId="22" borderId="11" xfId="0" applyFont="1" applyFill="1" applyBorder="1" applyAlignment="1">
      <alignment horizontal="center" vertical="center"/>
    </xf>
    <xf numFmtId="3" fontId="0" fillId="22" borderId="10" xfId="0" applyNumberFormat="1" applyFill="1" applyBorder="1" applyAlignment="1">
      <alignment horizontal="center" vertical="center"/>
    </xf>
    <xf numFmtId="167" fontId="15" fillId="7" borderId="10" xfId="0" applyNumberFormat="1" applyFont="1" applyFill="1" applyBorder="1" applyAlignment="1">
      <alignment horizontal="center" vertical="center"/>
    </xf>
    <xf numFmtId="167" fontId="15" fillId="7" borderId="11" xfId="0" applyNumberFormat="1" applyFont="1" applyFill="1" applyBorder="1" applyAlignment="1">
      <alignment horizontal="center" vertical="center"/>
    </xf>
    <xf numFmtId="167" fontId="15" fillId="7" borderId="56" xfId="0" applyNumberFormat="1" applyFont="1" applyFill="1" applyBorder="1" applyAlignment="1">
      <alignment horizontal="center" vertical="center"/>
    </xf>
    <xf numFmtId="3" fontId="0" fillId="0" borderId="46" xfId="0" applyNumberFormat="1" applyBorder="1" applyAlignment="1">
      <alignment horizontal="center" vertical="center"/>
    </xf>
    <xf numFmtId="167" fontId="40" fillId="19" borderId="44" xfId="0" applyNumberFormat="1" applyFont="1" applyFill="1" applyBorder="1" applyAlignment="1">
      <alignment horizontal="center" vertical="center" shrinkToFit="1"/>
    </xf>
    <xf numFmtId="0" fontId="0" fillId="16" borderId="73" xfId="0" applyFill="1" applyBorder="1" applyAlignment="1"/>
    <xf numFmtId="0" fontId="0" fillId="16" borderId="23" xfId="0" applyFill="1" applyBorder="1" applyAlignment="1"/>
    <xf numFmtId="0" fontId="0" fillId="16" borderId="74" xfId="0" applyFill="1" applyBorder="1" applyAlignment="1"/>
    <xf numFmtId="2" fontId="42" fillId="16" borderId="18" xfId="0" applyNumberFormat="1" applyFont="1" applyFill="1" applyBorder="1" applyAlignment="1">
      <alignment horizontal="center"/>
    </xf>
    <xf numFmtId="2" fontId="42" fillId="16" borderId="27" xfId="0" applyNumberFormat="1" applyFont="1" applyFill="1" applyBorder="1" applyAlignment="1">
      <alignment horizontal="center"/>
    </xf>
    <xf numFmtId="0" fontId="0" fillId="14" borderId="0" xfId="0" applyFont="1" applyFill="1" applyBorder="1" applyAlignment="1">
      <alignment horizontal="center" vertical="center"/>
    </xf>
    <xf numFmtId="0" fontId="15" fillId="21" borderId="10" xfId="0" applyFont="1" applyFill="1" applyBorder="1" applyAlignment="1">
      <alignment horizontal="center" vertical="center"/>
    </xf>
    <xf numFmtId="2" fontId="15" fillId="21" borderId="10" xfId="0" applyNumberFormat="1" applyFont="1" applyFill="1" applyBorder="1" applyAlignment="1">
      <alignment horizontal="center" vertical="center"/>
    </xf>
    <xf numFmtId="166" fontId="0" fillId="0" borderId="52" xfId="0" applyNumberFormat="1" applyBorder="1" applyAlignment="1">
      <alignment horizontal="center" vertical="center"/>
    </xf>
    <xf numFmtId="166" fontId="0" fillId="19" borderId="10" xfId="0" applyNumberFormat="1" applyFill="1" applyBorder="1" applyAlignment="1">
      <alignment horizontal="center"/>
    </xf>
    <xf numFmtId="0" fontId="30" fillId="0" borderId="10" xfId="0" applyFont="1" applyBorder="1"/>
    <xf numFmtId="0" fontId="30" fillId="0" borderId="52" xfId="0" applyFont="1" applyBorder="1"/>
    <xf numFmtId="0" fontId="0" fillId="0" borderId="52" xfId="0" applyBorder="1" applyAlignment="1">
      <alignment horizontal="center"/>
    </xf>
    <xf numFmtId="0" fontId="0" fillId="0" borderId="53" xfId="0" applyBorder="1" applyAlignment="1">
      <alignment horizontal="center" vertical="center"/>
    </xf>
    <xf numFmtId="0" fontId="0" fillId="0" borderId="75" xfId="0" applyBorder="1" applyAlignment="1">
      <alignment horizontal="center" vertical="center"/>
    </xf>
    <xf numFmtId="0" fontId="29" fillId="0" borderId="64" xfId="0" applyFont="1" applyBorder="1" applyAlignment="1">
      <alignment horizontal="left" vertical="center"/>
    </xf>
    <xf numFmtId="0" fontId="30" fillId="0" borderId="46" xfId="0" applyFont="1" applyBorder="1"/>
    <xf numFmtId="166" fontId="0" fillId="0" borderId="46" xfId="0" applyNumberFormat="1" applyBorder="1" applyAlignment="1">
      <alignment horizontal="center"/>
    </xf>
    <xf numFmtId="0" fontId="0" fillId="0" borderId="46" xfId="0" applyBorder="1" applyAlignment="1">
      <alignment horizontal="center"/>
    </xf>
    <xf numFmtId="0" fontId="0" fillId="0" borderId="71" xfId="0" applyBorder="1" applyAlignment="1">
      <alignment horizontal="center"/>
    </xf>
    <xf numFmtId="0" fontId="0" fillId="0" borderId="45" xfId="0" applyBorder="1" applyAlignment="1">
      <alignment horizontal="center"/>
    </xf>
    <xf numFmtId="166" fontId="0" fillId="0" borderId="45" xfId="0" applyNumberFormat="1" applyBorder="1" applyAlignment="1">
      <alignment horizontal="center"/>
    </xf>
    <xf numFmtId="2" fontId="0" fillId="0" borderId="46" xfId="0" applyNumberFormat="1" applyBorder="1" applyAlignment="1">
      <alignment horizontal="center" vertical="center"/>
    </xf>
    <xf numFmtId="2" fontId="0" fillId="0" borderId="47" xfId="0" applyNumberFormat="1" applyBorder="1" applyAlignment="1">
      <alignment horizontal="center" vertical="center"/>
    </xf>
    <xf numFmtId="2" fontId="0" fillId="0" borderId="45" xfId="0" applyNumberFormat="1" applyBorder="1" applyAlignment="1">
      <alignment horizontal="center" vertical="center"/>
    </xf>
    <xf numFmtId="0" fontId="29" fillId="0" borderId="72" xfId="0" applyFont="1" applyBorder="1" applyAlignment="1">
      <alignment horizontal="left" vertical="center"/>
    </xf>
    <xf numFmtId="166" fontId="0" fillId="0" borderId="11" xfId="0" applyNumberFormat="1" applyBorder="1" applyAlignment="1">
      <alignment horizontal="center"/>
    </xf>
    <xf numFmtId="166" fontId="0" fillId="0" borderId="28" xfId="0" applyNumberFormat="1" applyBorder="1" applyAlignment="1">
      <alignment horizontal="center"/>
    </xf>
    <xf numFmtId="2" fontId="0" fillId="0" borderId="29" xfId="0" applyNumberFormat="1" applyBorder="1" applyAlignment="1">
      <alignment horizontal="center" vertical="center"/>
    </xf>
    <xf numFmtId="0" fontId="0" fillId="13" borderId="10" xfId="0" applyFill="1" applyBorder="1" applyAlignment="1">
      <alignment horizontal="center"/>
    </xf>
    <xf numFmtId="0" fontId="0" fillId="13" borderId="10" xfId="0" applyFill="1" applyBorder="1" applyAlignment="1">
      <alignment horizontal="center" vertical="center"/>
    </xf>
    <xf numFmtId="0" fontId="0" fillId="13" borderId="11" xfId="0" applyFill="1" applyBorder="1" applyAlignment="1">
      <alignment horizontal="left" vertical="center"/>
    </xf>
    <xf numFmtId="0" fontId="0" fillId="13" borderId="0" xfId="0" applyFill="1" applyBorder="1" applyAlignment="1">
      <alignment horizontal="center" vertical="center"/>
    </xf>
    <xf numFmtId="0" fontId="0" fillId="10" borderId="0" xfId="0" applyFill="1" applyAlignment="1">
      <alignment horizontal="center"/>
    </xf>
    <xf numFmtId="0" fontId="0" fillId="10" borderId="0" xfId="0" applyFill="1"/>
    <xf numFmtId="0" fontId="0" fillId="10" borderId="0" xfId="0" applyFill="1" applyAlignment="1">
      <alignment horizontal="left" vertical="center"/>
    </xf>
    <xf numFmtId="0" fontId="0" fillId="23" borderId="10" xfId="0" applyFont="1" applyFill="1" applyBorder="1" applyAlignment="1">
      <alignment horizontal="left" vertical="center" wrapText="1"/>
    </xf>
    <xf numFmtId="0" fontId="0" fillId="23" borderId="10" xfId="0" applyFont="1" applyFill="1" applyBorder="1" applyAlignment="1">
      <alignment horizontal="center" vertical="center" wrapText="1"/>
    </xf>
    <xf numFmtId="0" fontId="29" fillId="23" borderId="10" xfId="0" applyFont="1" applyFill="1" applyBorder="1" applyAlignment="1">
      <alignment horizontal="center" vertical="center" wrapText="1"/>
    </xf>
    <xf numFmtId="0" fontId="0" fillId="23" borderId="11" xfId="0" applyFont="1" applyFill="1" applyBorder="1" applyAlignment="1">
      <alignment horizontal="center" vertical="center" wrapText="1"/>
    </xf>
    <xf numFmtId="0" fontId="0" fillId="23" borderId="13" xfId="0" applyFont="1" applyFill="1" applyBorder="1" applyAlignment="1">
      <alignment horizontal="center" vertical="center" wrapText="1"/>
    </xf>
    <xf numFmtId="0" fontId="0" fillId="23" borderId="57" xfId="0" applyFont="1" applyFill="1" applyBorder="1" applyAlignment="1">
      <alignment horizontal="center" vertical="center" wrapText="1"/>
    </xf>
    <xf numFmtId="0" fontId="0" fillId="23" borderId="14" xfId="0" applyFont="1" applyFill="1" applyBorder="1" applyAlignment="1">
      <alignment horizontal="center" vertical="center" wrapText="1"/>
    </xf>
    <xf numFmtId="0" fontId="0" fillId="23" borderId="15" xfId="0" applyFont="1" applyFill="1" applyBorder="1" applyAlignment="1">
      <alignment horizontal="center" vertical="center" wrapText="1"/>
    </xf>
    <xf numFmtId="0" fontId="0" fillId="0" borderId="11" xfId="0" applyFont="1" applyBorder="1" applyAlignment="1">
      <alignment horizontal="left" vertical="center"/>
    </xf>
    <xf numFmtId="0" fontId="33" fillId="0" borderId="16" xfId="34" applyFont="1" applyFill="1" applyBorder="1" applyAlignment="1" applyProtection="1">
      <alignment horizontal="center" vertical="center" wrapText="1"/>
      <protection hidden="1"/>
    </xf>
    <xf numFmtId="0" fontId="33" fillId="14" borderId="30" xfId="34" applyFont="1" applyFill="1" applyBorder="1" applyAlignment="1" applyProtection="1">
      <alignment horizontal="center" vertical="center" wrapText="1"/>
      <protection hidden="1"/>
    </xf>
    <xf numFmtId="0" fontId="33" fillId="0" borderId="15" xfId="34" applyFont="1" applyFill="1" applyBorder="1" applyAlignment="1" applyProtection="1">
      <alignment horizontal="center" vertical="center" wrapText="1"/>
      <protection hidden="1"/>
    </xf>
    <xf numFmtId="0" fontId="33" fillId="0" borderId="11" xfId="34" applyFont="1" applyFill="1" applyBorder="1" applyAlignment="1" applyProtection="1">
      <alignment horizontal="center" vertical="center" wrapText="1"/>
      <protection hidden="1"/>
    </xf>
    <xf numFmtId="0" fontId="33" fillId="14" borderId="31" xfId="34" applyFont="1" applyFill="1" applyBorder="1" applyAlignment="1" applyProtection="1">
      <alignment horizontal="center" vertical="center" wrapText="1"/>
      <protection hidden="1"/>
    </xf>
    <xf numFmtId="0" fontId="33" fillId="14" borderId="76" xfId="34" applyFont="1" applyFill="1" applyBorder="1" applyAlignment="1" applyProtection="1">
      <alignment horizontal="center" vertical="center" wrapText="1"/>
      <protection hidden="1"/>
    </xf>
    <xf numFmtId="0" fontId="33" fillId="14" borderId="14" xfId="34" applyFont="1" applyFill="1" applyBorder="1" applyAlignment="1" applyProtection="1">
      <alignment horizontal="center" vertical="center" wrapText="1"/>
      <protection hidden="1"/>
    </xf>
    <xf numFmtId="0" fontId="33" fillId="0" borderId="10" xfId="34" applyFont="1" applyFill="1" applyBorder="1" applyAlignment="1" applyProtection="1">
      <alignment horizontal="center" vertical="center" wrapText="1"/>
      <protection hidden="1"/>
    </xf>
    <xf numFmtId="0" fontId="0" fillId="23" borderId="10" xfId="0" applyFill="1" applyBorder="1" applyAlignment="1">
      <alignment horizontal="left" vertical="center"/>
    </xf>
    <xf numFmtId="0" fontId="0" fillId="23" borderId="10" xfId="0" applyFill="1" applyBorder="1" applyAlignment="1">
      <alignment horizontal="center" vertical="center"/>
    </xf>
    <xf numFmtId="0" fontId="0" fillId="23" borderId="11" xfId="0" applyFill="1" applyBorder="1" applyAlignment="1">
      <alignment horizontal="center" vertical="center"/>
    </xf>
    <xf numFmtId="3" fontId="0" fillId="23" borderId="10" xfId="0" applyNumberFormat="1" applyFill="1" applyBorder="1" applyAlignment="1">
      <alignment horizontal="center" vertical="center"/>
    </xf>
    <xf numFmtId="167" fontId="0" fillId="23" borderId="10" xfId="0" applyNumberFormat="1" applyFill="1" applyBorder="1" applyAlignment="1">
      <alignment horizontal="center" vertical="center"/>
    </xf>
    <xf numFmtId="167" fontId="0" fillId="23" borderId="11" xfId="0" applyNumberFormat="1" applyFill="1" applyBorder="1" applyAlignment="1">
      <alignment horizontal="center" vertical="center"/>
    </xf>
    <xf numFmtId="167" fontId="0" fillId="23" borderId="28" xfId="0" applyNumberFormat="1" applyFill="1" applyBorder="1" applyAlignment="1">
      <alignment horizontal="center" vertical="center"/>
    </xf>
    <xf numFmtId="167" fontId="0" fillId="23" borderId="29" xfId="0" applyNumberFormat="1" applyFill="1" applyBorder="1" applyAlignment="1">
      <alignment horizontal="center" vertical="center"/>
    </xf>
    <xf numFmtId="167" fontId="0" fillId="23" borderId="15" xfId="0" applyNumberFormat="1" applyFill="1" applyBorder="1" applyAlignment="1">
      <alignment horizontal="center" vertical="center"/>
    </xf>
    <xf numFmtId="166" fontId="0" fillId="23" borderId="28" xfId="0" applyNumberFormat="1" applyFill="1" applyBorder="1" applyAlignment="1">
      <alignment horizontal="center" vertical="center"/>
    </xf>
    <xf numFmtId="1" fontId="0" fillId="23" borderId="10" xfId="0" applyNumberFormat="1" applyFill="1" applyBorder="1" applyAlignment="1">
      <alignment horizontal="center" vertical="center"/>
    </xf>
    <xf numFmtId="1" fontId="0" fillId="23" borderId="29" xfId="0" applyNumberFormat="1" applyFill="1" applyBorder="1" applyAlignment="1">
      <alignment horizontal="center" vertical="center"/>
    </xf>
    <xf numFmtId="166" fontId="0" fillId="0" borderId="15" xfId="34" applyNumberFormat="1" applyFont="1" applyFill="1" applyBorder="1" applyAlignment="1">
      <alignment horizontal="center" vertical="center"/>
    </xf>
    <xf numFmtId="166" fontId="0" fillId="0" borderId="16" xfId="34" applyNumberFormat="1" applyFont="1" applyFill="1" applyBorder="1" applyAlignment="1">
      <alignment horizontal="center" vertical="center"/>
    </xf>
    <xf numFmtId="166" fontId="0" fillId="14" borderId="48" xfId="34" applyNumberFormat="1" applyFont="1" applyFill="1" applyBorder="1" applyAlignment="1">
      <alignment horizontal="center" vertical="center"/>
    </xf>
    <xf numFmtId="2" fontId="0" fillId="14" borderId="44" xfId="34" applyNumberFormat="1" applyFont="1" applyFill="1" applyBorder="1" applyAlignment="1">
      <alignment horizontal="center" vertical="center"/>
    </xf>
    <xf numFmtId="2" fontId="0" fillId="14" borderId="10" xfId="34" applyNumberFormat="1" applyFont="1" applyFill="1" applyBorder="1" applyAlignment="1">
      <alignment horizontal="center" vertical="center"/>
    </xf>
    <xf numFmtId="2" fontId="0" fillId="14" borderId="49" xfId="34" applyNumberFormat="1" applyFont="1" applyFill="1" applyBorder="1" applyAlignment="1">
      <alignment horizontal="center" vertical="center"/>
    </xf>
    <xf numFmtId="166" fontId="0" fillId="0" borderId="10" xfId="34" applyNumberFormat="1" applyFont="1" applyFill="1" applyBorder="1" applyAlignment="1">
      <alignment horizontal="center" vertical="center"/>
    </xf>
    <xf numFmtId="166" fontId="0" fillId="14" borderId="40" xfId="34" applyNumberFormat="1" applyFont="1" applyFill="1" applyBorder="1" applyAlignment="1">
      <alignment horizontal="center" vertical="center"/>
    </xf>
    <xf numFmtId="4" fontId="0" fillId="23" borderId="15" xfId="0" applyNumberFormat="1" applyFill="1" applyBorder="1" applyAlignment="1">
      <alignment horizontal="center" vertical="center"/>
    </xf>
    <xf numFmtId="0" fontId="0" fillId="16" borderId="10" xfId="0" applyFont="1" applyFill="1" applyBorder="1" applyAlignment="1">
      <alignment horizontal="center" vertical="center"/>
    </xf>
    <xf numFmtId="168" fontId="0" fillId="0" borderId="10" xfId="0" applyNumberFormat="1" applyFont="1" applyBorder="1" applyAlignment="1">
      <alignment horizontal="center" vertical="center"/>
    </xf>
    <xf numFmtId="168" fontId="0" fillId="0" borderId="11" xfId="0" applyNumberFormat="1" applyBorder="1" applyAlignment="1">
      <alignment horizontal="center" vertical="center"/>
    </xf>
    <xf numFmtId="168" fontId="0" fillId="0" borderId="28" xfId="0" applyNumberFormat="1" applyBorder="1" applyAlignment="1">
      <alignment horizontal="center" vertical="center"/>
    </xf>
    <xf numFmtId="168" fontId="0" fillId="0" borderId="10" xfId="0" applyNumberFormat="1" applyBorder="1" applyAlignment="1">
      <alignment horizontal="center" vertical="center"/>
    </xf>
    <xf numFmtId="168" fontId="0" fillId="0" borderId="29" xfId="0" applyNumberFormat="1" applyBorder="1" applyAlignment="1">
      <alignment horizontal="center" vertical="center"/>
    </xf>
    <xf numFmtId="166" fontId="0" fillId="14" borderId="20" xfId="34" applyNumberFormat="1" applyFont="1" applyFill="1" applyBorder="1" applyAlignment="1">
      <alignment horizontal="center" vertical="center"/>
    </xf>
    <xf numFmtId="2" fontId="0" fillId="14" borderId="22" xfId="34" applyNumberFormat="1" applyFont="1" applyFill="1" applyBorder="1" applyAlignment="1">
      <alignment horizontal="center" vertical="center"/>
    </xf>
    <xf numFmtId="2" fontId="0" fillId="14" borderId="18" xfId="34" applyNumberFormat="1" applyFont="1" applyFill="1" applyBorder="1" applyAlignment="1">
      <alignment horizontal="center" vertical="center"/>
    </xf>
    <xf numFmtId="2" fontId="0" fillId="14" borderId="77" xfId="34" applyNumberFormat="1" applyFont="1" applyFill="1" applyBorder="1" applyAlignment="1">
      <alignment horizontal="center" vertical="center"/>
    </xf>
    <xf numFmtId="1" fontId="0" fillId="0" borderId="17" xfId="0" applyNumberFormat="1" applyBorder="1" applyAlignment="1">
      <alignment horizontal="center" vertical="center"/>
    </xf>
    <xf numFmtId="1" fontId="0" fillId="0" borderId="18" xfId="0" applyNumberFormat="1" applyBorder="1" applyAlignment="1">
      <alignment horizontal="center" vertical="center"/>
    </xf>
    <xf numFmtId="1" fontId="0" fillId="0" borderId="27" xfId="0" applyNumberFormat="1" applyBorder="1" applyAlignment="1">
      <alignment horizontal="center" vertical="center"/>
    </xf>
    <xf numFmtId="0" fontId="44" fillId="14" borderId="0" xfId="0" applyFont="1" applyFill="1" applyAlignment="1">
      <alignment horizontal="left" vertical="center"/>
    </xf>
    <xf numFmtId="0" fontId="0" fillId="14" borderId="0" xfId="0" applyFill="1" applyAlignment="1">
      <alignment horizontal="center" vertical="center"/>
    </xf>
    <xf numFmtId="0" fontId="9" fillId="14" borderId="0" xfId="0" applyFont="1" applyFill="1" applyAlignment="1">
      <alignment horizontal="right" vertical="center"/>
    </xf>
    <xf numFmtId="1" fontId="9" fillId="14" borderId="30" xfId="0" applyNumberFormat="1" applyFont="1" applyFill="1" applyBorder="1" applyAlignment="1">
      <alignment horizontal="center" vertical="center"/>
    </xf>
    <xf numFmtId="1" fontId="40" fillId="0" borderId="56" xfId="0" applyNumberFormat="1" applyFont="1" applyBorder="1" applyAlignment="1">
      <alignment horizontal="left" vertical="center"/>
    </xf>
    <xf numFmtId="1" fontId="40" fillId="0" borderId="0" xfId="0" applyNumberFormat="1" applyFont="1" applyBorder="1" applyAlignment="1">
      <alignment horizontal="left" vertical="center"/>
    </xf>
    <xf numFmtId="1" fontId="9" fillId="14" borderId="56" xfId="0" applyNumberFormat="1" applyFont="1" applyFill="1" applyBorder="1" applyAlignment="1">
      <alignment horizontal="center" vertical="center"/>
    </xf>
    <xf numFmtId="0" fontId="0" fillId="14" borderId="0" xfId="0" applyFont="1" applyFill="1" applyAlignment="1">
      <alignment horizontal="right" vertical="center"/>
    </xf>
    <xf numFmtId="0" fontId="40" fillId="0" borderId="0" xfId="0" applyFont="1" applyAlignment="1">
      <alignment horizontal="center" vertical="center"/>
    </xf>
    <xf numFmtId="0" fontId="0" fillId="0" borderId="0" xfId="0" applyAlignment="1">
      <alignment horizontal="center" vertical="center" shrinkToFit="1"/>
    </xf>
    <xf numFmtId="1" fontId="9" fillId="14" borderId="39" xfId="0" applyNumberFormat="1" applyFont="1" applyFill="1" applyBorder="1" applyAlignment="1">
      <alignment horizontal="center" vertical="center"/>
    </xf>
    <xf numFmtId="0" fontId="12" fillId="0" borderId="15" xfId="29" applyNumberFormat="1" applyFill="1" applyBorder="1" applyAlignment="1" applyProtection="1">
      <alignment horizontal="center" vertical="center"/>
    </xf>
    <xf numFmtId="10" fontId="0" fillId="0" borderId="10" xfId="0" applyNumberFormat="1" applyBorder="1" applyAlignment="1">
      <alignment horizontal="center" vertical="center"/>
    </xf>
    <xf numFmtId="10" fontId="0" fillId="0" borderId="11" xfId="0" applyNumberFormat="1" applyBorder="1" applyAlignment="1">
      <alignment horizontal="center" vertical="center"/>
    </xf>
    <xf numFmtId="9" fontId="0" fillId="0" borderId="15" xfId="0" applyNumberFormat="1" applyBorder="1" applyAlignment="1">
      <alignment horizontal="center" vertical="center"/>
    </xf>
    <xf numFmtId="10" fontId="0" fillId="0" borderId="28" xfId="0" applyNumberFormat="1" applyBorder="1" applyAlignment="1">
      <alignment horizontal="center" vertical="center"/>
    </xf>
    <xf numFmtId="10" fontId="0" fillId="0" borderId="29" xfId="0" applyNumberFormat="1" applyBorder="1" applyAlignment="1">
      <alignment horizontal="center" vertic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0" fontId="48" fillId="0" borderId="15" xfId="34" applyFont="1" applyBorder="1" applyAlignment="1">
      <alignment horizontal="center" vertical="center"/>
    </xf>
    <xf numFmtId="0" fontId="129" fillId="16" borderId="0" xfId="34" applyFill="1"/>
    <xf numFmtId="0" fontId="49" fillId="13" borderId="10" xfId="25" applyNumberFormat="1" applyFont="1" applyFill="1" applyBorder="1" applyAlignment="1" applyProtection="1">
      <alignment horizontal="center" vertical="center"/>
    </xf>
    <xf numFmtId="0" fontId="0" fillId="16" borderId="0" xfId="0" applyFill="1"/>
    <xf numFmtId="0" fontId="39" fillId="16" borderId="0" xfId="34" applyFont="1" applyFill="1" applyProtection="1"/>
    <xf numFmtId="0" fontId="129" fillId="16" borderId="0" xfId="34" applyFill="1" applyProtection="1"/>
    <xf numFmtId="0" fontId="39" fillId="16" borderId="0" xfId="34" applyFont="1" applyFill="1" applyAlignment="1" applyProtection="1">
      <alignment horizontal="right" vertical="center"/>
      <protection locked="0"/>
    </xf>
    <xf numFmtId="0" fontId="52" fillId="16" borderId="0" xfId="34" applyFont="1" applyFill="1" applyAlignment="1" applyProtection="1">
      <alignment vertical="center"/>
    </xf>
    <xf numFmtId="0" fontId="53" fillId="16" borderId="0" xfId="34" applyFont="1" applyFill="1" applyBorder="1" applyAlignment="1" applyProtection="1">
      <alignment vertical="center"/>
    </xf>
    <xf numFmtId="0" fontId="0" fillId="16" borderId="0" xfId="0" applyFill="1" applyProtection="1"/>
    <xf numFmtId="0" fontId="37" fillId="10" borderId="62" xfId="34" applyFont="1" applyFill="1" applyBorder="1" applyAlignment="1" applyProtection="1">
      <alignment horizontal="left" vertical="center"/>
    </xf>
    <xf numFmtId="0" fontId="39" fillId="10" borderId="64" xfId="34" applyFont="1" applyFill="1" applyBorder="1" applyAlignment="1" applyProtection="1">
      <alignment horizontal="left" vertical="center"/>
    </xf>
    <xf numFmtId="0" fontId="39" fillId="10" borderId="63" xfId="34" applyFont="1" applyFill="1" applyBorder="1" applyAlignment="1" applyProtection="1">
      <alignment horizontal="left" vertical="center"/>
    </xf>
    <xf numFmtId="0" fontId="47" fillId="0" borderId="10" xfId="0" applyFont="1" applyBorder="1" applyAlignment="1">
      <alignment horizontal="center" vertical="center"/>
    </xf>
    <xf numFmtId="0" fontId="37" fillId="0" borderId="63" xfId="0" applyFont="1" applyBorder="1" applyAlignment="1">
      <alignment horizontal="center" vertical="center"/>
    </xf>
    <xf numFmtId="14" fontId="39" fillId="0" borderId="59" xfId="0" applyNumberFormat="1" applyFont="1" applyBorder="1" applyAlignment="1" applyProtection="1">
      <alignment horizontal="center" vertical="center"/>
      <protection locked="0"/>
    </xf>
    <xf numFmtId="0" fontId="0" fillId="0" borderId="63" xfId="0" applyFont="1" applyBorder="1" applyAlignment="1">
      <alignment vertical="center"/>
    </xf>
    <xf numFmtId="0" fontId="0" fillId="0" borderId="60" xfId="0" applyFont="1" applyBorder="1" applyAlignment="1" applyProtection="1">
      <alignment vertical="center"/>
      <protection locked="0"/>
    </xf>
    <xf numFmtId="0" fontId="55" fillId="16" borderId="0" xfId="0" applyFont="1" applyFill="1" applyBorder="1" applyAlignment="1" applyProtection="1">
      <alignment vertical="center"/>
    </xf>
    <xf numFmtId="0" fontId="0" fillId="16" borderId="0" xfId="0" applyFill="1" applyBorder="1" applyProtection="1"/>
    <xf numFmtId="0" fontId="9" fillId="16" borderId="0" xfId="0" applyFont="1" applyFill="1" applyBorder="1" applyProtection="1"/>
    <xf numFmtId="0" fontId="56" fillId="0" borderId="60" xfId="0" applyFont="1" applyBorder="1" applyAlignment="1" applyProtection="1">
      <alignment vertical="center"/>
      <protection locked="0"/>
    </xf>
    <xf numFmtId="0" fontId="23" fillId="16" borderId="0" xfId="0" applyFont="1" applyFill="1" applyBorder="1" applyProtection="1"/>
    <xf numFmtId="0" fontId="39" fillId="16" borderId="0" xfId="34" applyFont="1" applyFill="1" applyBorder="1" applyAlignment="1" applyProtection="1">
      <alignment horizontal="left" vertical="center" wrapText="1"/>
    </xf>
    <xf numFmtId="0" fontId="37" fillId="13" borderId="62" xfId="34" applyFont="1" applyFill="1" applyBorder="1" applyAlignment="1" applyProtection="1">
      <alignment vertical="center"/>
    </xf>
    <xf numFmtId="0" fontId="129" fillId="13" borderId="64" xfId="34" applyFill="1" applyBorder="1" applyProtection="1"/>
    <xf numFmtId="0" fontId="57" fillId="13" borderId="63" xfId="25" applyNumberFormat="1" applyFont="1" applyFill="1" applyBorder="1" applyAlignment="1" applyProtection="1">
      <alignment horizontal="right" vertical="center"/>
    </xf>
    <xf numFmtId="0" fontId="57" fillId="13" borderId="65" xfId="25" applyNumberFormat="1" applyFont="1" applyFill="1" applyBorder="1" applyAlignment="1" applyProtection="1">
      <alignment horizontal="center" vertical="center"/>
    </xf>
    <xf numFmtId="0" fontId="0" fillId="0" borderId="0" xfId="0" applyProtection="1"/>
    <xf numFmtId="0" fontId="47" fillId="16" borderId="0" xfId="34" applyFont="1" applyFill="1" applyProtection="1"/>
    <xf numFmtId="14" fontId="39" fillId="0" borderId="71" xfId="0" applyNumberFormat="1" applyFont="1" applyBorder="1" applyAlignment="1" applyProtection="1">
      <alignment horizontal="center" vertical="center"/>
      <protection locked="0"/>
    </xf>
    <xf numFmtId="0" fontId="0" fillId="0" borderId="65" xfId="0" applyFont="1" applyBorder="1" applyAlignment="1" applyProtection="1">
      <alignment vertical="center"/>
      <protection locked="0"/>
    </xf>
    <xf numFmtId="0" fontId="39" fillId="10" borderId="10" xfId="34" applyFont="1" applyFill="1" applyBorder="1" applyAlignment="1" applyProtection="1">
      <alignment horizontal="left" vertical="center"/>
    </xf>
    <xf numFmtId="0" fontId="38" fillId="16" borderId="0" xfId="34" applyFont="1" applyFill="1" applyAlignment="1" applyProtection="1">
      <alignment vertical="center"/>
    </xf>
    <xf numFmtId="0" fontId="0" fillId="0" borderId="0" xfId="0" applyProtection="1">
      <protection locked="0"/>
    </xf>
    <xf numFmtId="0" fontId="129" fillId="21" borderId="10" xfId="34" applyFill="1" applyBorder="1" applyProtection="1"/>
    <xf numFmtId="0" fontId="129" fillId="9" borderId="10" xfId="34" applyFill="1" applyBorder="1" applyProtection="1"/>
    <xf numFmtId="0" fontId="129" fillId="13" borderId="10" xfId="34" applyFill="1" applyBorder="1" applyProtection="1"/>
    <xf numFmtId="0" fontId="55" fillId="16" borderId="0" xfId="0" applyFont="1" applyFill="1" applyAlignment="1" applyProtection="1">
      <alignment vertical="center"/>
    </xf>
    <xf numFmtId="0" fontId="47" fillId="10" borderId="62" xfId="34" applyFont="1" applyFill="1" applyBorder="1" applyAlignment="1" applyProtection="1">
      <alignment horizontal="left" vertical="center"/>
    </xf>
    <xf numFmtId="0" fontId="0" fillId="10" borderId="64" xfId="0" applyFill="1" applyBorder="1" applyProtection="1"/>
    <xf numFmtId="0" fontId="129" fillId="10" borderId="63" xfId="34" applyFill="1" applyBorder="1" applyProtection="1"/>
    <xf numFmtId="0" fontId="39" fillId="16" borderId="0" xfId="34" applyFont="1" applyFill="1" applyAlignment="1">
      <alignment vertical="center"/>
    </xf>
    <xf numFmtId="0" fontId="30" fillId="0" borderId="0" xfId="0" applyFont="1"/>
    <xf numFmtId="0" fontId="30" fillId="16" borderId="0" xfId="0" applyFont="1" applyFill="1"/>
    <xf numFmtId="0" fontId="0" fillId="16" borderId="0" xfId="34" applyFont="1" applyFill="1"/>
    <xf numFmtId="0" fontId="59" fillId="13" borderId="11" xfId="25" applyNumberFormat="1" applyFont="1" applyFill="1" applyBorder="1" applyAlignment="1" applyProtection="1">
      <alignment horizontal="center" vertical="center"/>
    </xf>
    <xf numFmtId="0" fontId="28" fillId="16" borderId="0" xfId="34" applyFont="1" applyFill="1" applyBorder="1" applyAlignment="1">
      <alignment horizontal="left" vertical="center" wrapText="1"/>
    </xf>
    <xf numFmtId="0" fontId="28" fillId="16" borderId="72" xfId="34" applyFont="1" applyFill="1" applyBorder="1" applyAlignment="1">
      <alignment horizontal="left" vertical="center" wrapText="1"/>
    </xf>
    <xf numFmtId="0" fontId="0" fillId="16" borderId="0" xfId="34" applyFont="1" applyFill="1" applyBorder="1" applyAlignment="1">
      <alignment vertical="center"/>
    </xf>
    <xf numFmtId="0" fontId="60" fillId="16" borderId="0" xfId="34" applyFont="1" applyFill="1" applyAlignment="1" applyProtection="1">
      <alignment horizontal="left" vertical="center"/>
    </xf>
    <xf numFmtId="0" fontId="0" fillId="0" borderId="0" xfId="34" applyFont="1"/>
    <xf numFmtId="0" fontId="60" fillId="16" borderId="0" xfId="34" applyFont="1" applyFill="1" applyAlignment="1" applyProtection="1">
      <alignment horizontal="center" vertical="center"/>
    </xf>
    <xf numFmtId="0" fontId="0" fillId="0" borderId="0" xfId="34" applyFont="1" applyFill="1" applyBorder="1"/>
    <xf numFmtId="0" fontId="27" fillId="0" borderId="0" xfId="34" applyFont="1" applyFill="1" applyBorder="1" applyAlignment="1">
      <alignment vertical="center" wrapText="1"/>
    </xf>
    <xf numFmtId="0" fontId="33" fillId="16" borderId="10" xfId="34" applyFont="1" applyFill="1" applyBorder="1" applyAlignment="1" applyProtection="1">
      <alignment vertical="center"/>
      <protection locked="0"/>
    </xf>
    <xf numFmtId="0" fontId="0" fillId="16" borderId="15" xfId="34" applyFont="1" applyFill="1" applyBorder="1" applyAlignment="1" applyProtection="1">
      <alignment vertical="center"/>
      <protection locked="0"/>
    </xf>
    <xf numFmtId="0" fontId="27" fillId="0" borderId="0" xfId="34" applyFont="1" applyFill="1" applyBorder="1" applyAlignment="1" applyProtection="1">
      <alignment vertical="center" shrinkToFit="1"/>
      <protection locked="0"/>
    </xf>
    <xf numFmtId="0" fontId="27" fillId="16" borderId="72" xfId="34" applyFont="1" applyFill="1" applyBorder="1" applyAlignment="1"/>
    <xf numFmtId="0" fontId="37" fillId="13" borderId="10" xfId="34" applyFont="1" applyFill="1" applyBorder="1" applyAlignment="1" applyProtection="1">
      <alignment horizontal="center" vertical="center" wrapText="1"/>
      <protection locked="0"/>
    </xf>
    <xf numFmtId="0" fontId="0" fillId="19" borderId="63" xfId="34" applyFont="1" applyFill="1" applyBorder="1"/>
    <xf numFmtId="0" fontId="28" fillId="19" borderId="15" xfId="34" applyFont="1" applyFill="1" applyBorder="1" applyAlignment="1">
      <alignment horizontal="center" vertical="center" wrapText="1"/>
    </xf>
    <xf numFmtId="0" fontId="28" fillId="16" borderId="11" xfId="34" applyFont="1" applyFill="1" applyBorder="1" applyAlignment="1">
      <alignment vertical="center"/>
    </xf>
    <xf numFmtId="0" fontId="28" fillId="16" borderId="16" xfId="34" applyFont="1" applyFill="1" applyBorder="1" applyAlignment="1">
      <alignment vertical="center"/>
    </xf>
    <xf numFmtId="0" fontId="0" fillId="16" borderId="15" xfId="34" applyFont="1" applyFill="1" applyBorder="1"/>
    <xf numFmtId="0" fontId="27" fillId="16" borderId="0" xfId="34" applyFont="1" applyFill="1" applyBorder="1" applyAlignment="1"/>
    <xf numFmtId="0" fontId="9" fillId="18" borderId="59" xfId="0" applyFont="1" applyFill="1" applyBorder="1" applyAlignment="1">
      <alignment vertical="center"/>
    </xf>
    <xf numFmtId="0" fontId="9" fillId="18" borderId="0" xfId="0" applyFont="1" applyFill="1" applyBorder="1" applyAlignment="1">
      <alignment vertical="center"/>
    </xf>
    <xf numFmtId="0" fontId="29" fillId="0" borderId="0" xfId="0" applyFont="1"/>
    <xf numFmtId="0" fontId="33" fillId="14" borderId="0" xfId="0" applyFont="1" applyFill="1" applyBorder="1" applyAlignment="1">
      <alignment horizontal="center"/>
    </xf>
    <xf numFmtId="0" fontId="62" fillId="14" borderId="0" xfId="0" applyFont="1" applyFill="1" applyBorder="1" applyAlignment="1">
      <alignment vertical="center"/>
    </xf>
    <xf numFmtId="0" fontId="41" fillId="14" borderId="0" xfId="0" applyFont="1" applyFill="1" applyBorder="1" applyAlignment="1">
      <alignment vertical="center"/>
    </xf>
    <xf numFmtId="0" fontId="33" fillId="14" borderId="0" xfId="0" applyFont="1" applyFill="1" applyBorder="1" applyProtection="1"/>
    <xf numFmtId="0" fontId="64" fillId="14" borderId="0" xfId="0" applyFont="1" applyFill="1" applyBorder="1" applyAlignment="1" applyProtection="1">
      <alignment vertical="center" wrapText="1"/>
    </xf>
    <xf numFmtId="0" fontId="37" fillId="0" borderId="0" xfId="34" applyFont="1" applyBorder="1" applyAlignment="1">
      <alignment vertical="center"/>
    </xf>
    <xf numFmtId="14" fontId="41" fillId="14" borderId="0" xfId="0" applyNumberFormat="1" applyFont="1" applyFill="1" applyBorder="1" applyAlignment="1" applyProtection="1">
      <alignment horizontal="center"/>
      <protection locked="0"/>
    </xf>
    <xf numFmtId="0" fontId="33" fillId="14" borderId="0" xfId="0" applyFont="1" applyFill="1" applyBorder="1" applyAlignment="1" applyProtection="1">
      <alignment horizontal="center"/>
    </xf>
    <xf numFmtId="14" fontId="33" fillId="14" borderId="0" xfId="0" applyNumberFormat="1" applyFont="1" applyFill="1" applyBorder="1" applyAlignment="1" applyProtection="1">
      <alignment horizontal="center"/>
      <protection locked="0"/>
    </xf>
    <xf numFmtId="0" fontId="33" fillId="24" borderId="10" xfId="0" applyFont="1" applyFill="1" applyBorder="1" applyAlignment="1" applyProtection="1">
      <alignment horizontal="center" vertical="center" wrapText="1"/>
      <protection hidden="1"/>
    </xf>
    <xf numFmtId="0" fontId="26" fillId="24" borderId="10" xfId="0" applyFont="1" applyFill="1" applyBorder="1" applyAlignment="1" applyProtection="1">
      <alignment horizontal="center" vertical="center" wrapText="1"/>
      <protection hidden="1"/>
    </xf>
    <xf numFmtId="0" fontId="41" fillId="24" borderId="10" xfId="0" applyFont="1" applyFill="1" applyBorder="1" applyAlignment="1" applyProtection="1">
      <alignment horizontal="center" vertical="center"/>
      <protection hidden="1"/>
    </xf>
    <xf numFmtId="0" fontId="66" fillId="24" borderId="10" xfId="0" applyFont="1" applyFill="1" applyBorder="1" applyAlignment="1">
      <alignment horizontal="center" vertical="center" wrapText="1"/>
    </xf>
    <xf numFmtId="0" fontId="41" fillId="24" borderId="10" xfId="0" applyFont="1" applyFill="1" applyBorder="1" applyAlignment="1" applyProtection="1">
      <alignment horizontal="center" vertical="center" wrapText="1"/>
      <protection hidden="1"/>
    </xf>
    <xf numFmtId="0" fontId="33" fillId="14" borderId="0" xfId="0" applyFont="1" applyFill="1" applyBorder="1" applyProtection="1">
      <protection locked="0"/>
    </xf>
    <xf numFmtId="0" fontId="29" fillId="0" borderId="0" xfId="0" applyFont="1" applyAlignment="1">
      <alignment vertical="center"/>
    </xf>
    <xf numFmtId="0" fontId="0" fillId="0" borderId="0" xfId="34" applyFont="1" applyBorder="1" applyAlignment="1">
      <alignment vertical="center"/>
    </xf>
    <xf numFmtId="0" fontId="68" fillId="24" borderId="11" xfId="0" applyFont="1" applyFill="1" applyBorder="1" applyAlignment="1" applyProtection="1">
      <alignment vertical="center"/>
    </xf>
    <xf numFmtId="0" fontId="68" fillId="24" borderId="16" xfId="0" applyFont="1" applyFill="1" applyBorder="1" applyAlignment="1" applyProtection="1">
      <alignment vertical="center"/>
    </xf>
    <xf numFmtId="0" fontId="68" fillId="24" borderId="15" xfId="0" applyFont="1" applyFill="1" applyBorder="1" applyAlignment="1" applyProtection="1">
      <alignment vertical="center"/>
    </xf>
    <xf numFmtId="3" fontId="69" fillId="10" borderId="15" xfId="0" applyNumberFormat="1" applyFont="1" applyFill="1" applyBorder="1" applyAlignment="1" applyProtection="1">
      <alignment horizontal="center" vertical="center"/>
      <protection locked="0"/>
    </xf>
    <xf numFmtId="0" fontId="28" fillId="0" borderId="0" xfId="34" applyFont="1" applyBorder="1" applyAlignment="1">
      <alignment horizontal="left" vertical="center"/>
    </xf>
    <xf numFmtId="0" fontId="33" fillId="14" borderId="0" xfId="0" applyFont="1" applyFill="1" applyBorder="1" applyAlignment="1">
      <alignment horizontal="center" vertical="center"/>
    </xf>
    <xf numFmtId="0" fontId="30" fillId="0" borderId="0" xfId="34" applyFont="1" applyBorder="1" applyAlignment="1">
      <alignment vertical="center"/>
    </xf>
    <xf numFmtId="0" fontId="30" fillId="0" borderId="0" xfId="34" applyFont="1" applyBorder="1" applyAlignment="1">
      <alignment horizontal="left" vertical="center"/>
    </xf>
    <xf numFmtId="0" fontId="28" fillId="0" borderId="0" xfId="34" applyFont="1" applyBorder="1" applyAlignment="1">
      <alignment vertical="center"/>
    </xf>
    <xf numFmtId="0" fontId="65" fillId="0" borderId="0" xfId="0" applyFont="1" applyAlignment="1">
      <alignment vertical="center"/>
    </xf>
    <xf numFmtId="0" fontId="30" fillId="0" borderId="0" xfId="0" applyFont="1" applyAlignment="1">
      <alignment vertical="center"/>
    </xf>
    <xf numFmtId="0" fontId="0" fillId="0" borderId="0" xfId="34" applyFont="1" applyBorder="1" applyAlignment="1">
      <alignment horizontal="left" vertical="center"/>
    </xf>
    <xf numFmtId="0" fontId="41" fillId="14" borderId="0" xfId="0" applyFont="1" applyFill="1" applyBorder="1" applyAlignment="1" applyProtection="1">
      <alignment horizontal="right" vertical="center"/>
      <protection locked="0"/>
    </xf>
    <xf numFmtId="0" fontId="71" fillId="14" borderId="0" xfId="0" applyFont="1" applyFill="1" applyBorder="1" applyAlignment="1">
      <alignment horizontal="right" vertical="top"/>
    </xf>
    <xf numFmtId="0" fontId="17" fillId="14" borderId="0" xfId="0" applyFont="1" applyFill="1" applyBorder="1" applyProtection="1">
      <protection locked="0"/>
    </xf>
    <xf numFmtId="0" fontId="73" fillId="14" borderId="0" xfId="0" applyFont="1" applyFill="1" applyBorder="1" applyProtection="1">
      <protection locked="0"/>
    </xf>
    <xf numFmtId="0" fontId="41" fillId="24" borderId="52" xfId="0" applyFont="1" applyFill="1" applyBorder="1" applyAlignment="1" applyProtection="1">
      <alignment horizontal="center" vertical="center"/>
      <protection locked="0"/>
    </xf>
    <xf numFmtId="0" fontId="41" fillId="24" borderId="52" xfId="0" applyFont="1" applyFill="1" applyBorder="1" applyAlignment="1" applyProtection="1">
      <alignment horizontal="center" vertical="center" wrapText="1"/>
    </xf>
    <xf numFmtId="0" fontId="41" fillId="24" borderId="64" xfId="0" applyFont="1" applyFill="1" applyBorder="1" applyAlignment="1" applyProtection="1">
      <alignment horizontal="center" wrapText="1"/>
    </xf>
    <xf numFmtId="0" fontId="41" fillId="24" borderId="10" xfId="0" applyFont="1" applyFill="1" applyBorder="1" applyAlignment="1" applyProtection="1">
      <alignment horizontal="center" vertical="center" wrapText="1"/>
    </xf>
    <xf numFmtId="0" fontId="41" fillId="24" borderId="10" xfId="29" applyNumberFormat="1" applyFont="1" applyFill="1" applyBorder="1" applyAlignment="1" applyProtection="1">
      <alignment horizontal="center" vertical="center" wrapText="1"/>
    </xf>
    <xf numFmtId="0" fontId="41" fillId="24" borderId="62" xfId="0" applyFont="1" applyFill="1" applyBorder="1" applyAlignment="1" applyProtection="1">
      <alignment horizontal="center" vertical="center" wrapText="1"/>
    </xf>
    <xf numFmtId="0" fontId="26" fillId="24" borderId="10" xfId="0" applyFont="1" applyFill="1" applyBorder="1" applyAlignment="1" applyProtection="1">
      <alignment horizontal="center" vertical="center" wrapText="1"/>
    </xf>
    <xf numFmtId="0" fontId="33" fillId="24" borderId="10" xfId="0" applyFont="1" applyFill="1" applyBorder="1" applyAlignment="1" applyProtection="1">
      <alignment horizontal="center" vertical="center" wrapText="1"/>
    </xf>
    <xf numFmtId="0" fontId="41" fillId="24" borderId="10" xfId="0" applyFont="1" applyFill="1" applyBorder="1" applyAlignment="1" applyProtection="1">
      <alignment horizontal="center" vertical="center"/>
      <protection locked="0"/>
    </xf>
    <xf numFmtId="0" fontId="41" fillId="24" borderId="11" xfId="0" applyFont="1" applyFill="1" applyBorder="1" applyAlignment="1" applyProtection="1">
      <alignment horizontal="center" vertical="center"/>
      <protection locked="0"/>
    </xf>
    <xf numFmtId="0" fontId="41" fillId="24" borderId="11" xfId="0" applyFont="1" applyFill="1" applyBorder="1" applyAlignment="1" applyProtection="1">
      <alignment horizontal="left" vertical="center"/>
      <protection locked="0"/>
    </xf>
    <xf numFmtId="1" fontId="0" fillId="16" borderId="10" xfId="0" applyNumberFormat="1" applyFont="1" applyFill="1" applyBorder="1" applyAlignment="1" applyProtection="1">
      <alignment horizontal="center" vertical="center" shrinkToFit="1"/>
      <protection hidden="1"/>
    </xf>
    <xf numFmtId="2" fontId="0" fillId="16" borderId="15" xfId="0" applyNumberFormat="1" applyFont="1" applyFill="1" applyBorder="1" applyAlignment="1" applyProtection="1">
      <alignment horizontal="center" vertical="center" shrinkToFit="1"/>
      <protection hidden="1"/>
    </xf>
    <xf numFmtId="2" fontId="0" fillId="16" borderId="10" xfId="0" applyNumberFormat="1" applyFont="1" applyFill="1" applyBorder="1" applyAlignment="1" applyProtection="1">
      <alignment horizontal="center" vertical="center" shrinkToFit="1"/>
      <protection hidden="1"/>
    </xf>
    <xf numFmtId="2" fontId="0" fillId="16" borderId="11" xfId="0" applyNumberFormat="1" applyFont="1" applyFill="1" applyBorder="1" applyAlignment="1" applyProtection="1">
      <alignment horizontal="center" vertical="center" shrinkToFit="1"/>
      <protection hidden="1"/>
    </xf>
    <xf numFmtId="3" fontId="0" fillId="16" borderId="10" xfId="29" applyNumberFormat="1" applyFont="1" applyFill="1" applyBorder="1" applyAlignment="1" applyProtection="1">
      <alignment horizontal="center" vertical="center" shrinkToFit="1"/>
      <protection hidden="1"/>
    </xf>
    <xf numFmtId="0" fontId="33" fillId="24" borderId="10" xfId="0" applyFont="1" applyFill="1" applyBorder="1" applyAlignment="1" applyProtection="1">
      <alignment horizontal="center" vertical="center"/>
      <protection locked="0"/>
    </xf>
    <xf numFmtId="0" fontId="30" fillId="0" borderId="0" xfId="34" applyFont="1" applyBorder="1"/>
    <xf numFmtId="0" fontId="41" fillId="24" borderId="11" xfId="0" applyFont="1" applyFill="1" applyBorder="1" applyAlignment="1" applyProtection="1">
      <alignment horizontal="left" vertical="center"/>
    </xf>
    <xf numFmtId="0" fontId="41" fillId="24" borderId="16" xfId="0" applyFont="1" applyFill="1" applyBorder="1" applyAlignment="1" applyProtection="1">
      <alignment horizontal="left" vertical="center"/>
    </xf>
    <xf numFmtId="0" fontId="41" fillId="24" borderId="15" xfId="0" applyFont="1" applyFill="1" applyBorder="1" applyAlignment="1" applyProtection="1">
      <alignment horizontal="left" vertical="center"/>
    </xf>
    <xf numFmtId="0" fontId="33" fillId="10" borderId="65" xfId="0" applyFont="1" applyFill="1" applyBorder="1" applyAlignment="1" applyProtection="1">
      <alignment horizontal="center" vertical="center"/>
      <protection locked="0"/>
    </xf>
    <xf numFmtId="0" fontId="33" fillId="10" borderId="46" xfId="0" applyFont="1" applyFill="1" applyBorder="1" applyAlignment="1" applyProtection="1">
      <alignment horizontal="center" vertical="center"/>
      <protection locked="0"/>
    </xf>
    <xf numFmtId="3" fontId="33" fillId="10" borderId="46" xfId="0" applyNumberFormat="1" applyFont="1" applyFill="1" applyBorder="1" applyAlignment="1" applyProtection="1">
      <alignment horizontal="center" vertical="center"/>
      <protection locked="0"/>
    </xf>
    <xf numFmtId="3" fontId="33" fillId="16" borderId="10" xfId="0" applyNumberFormat="1" applyFont="1" applyFill="1" applyBorder="1" applyAlignment="1" applyProtection="1">
      <alignment horizontal="center" vertical="center" shrinkToFit="1"/>
      <protection hidden="1"/>
    </xf>
    <xf numFmtId="0" fontId="33" fillId="10" borderId="10" xfId="0" applyFont="1" applyFill="1" applyBorder="1" applyAlignment="1" applyProtection="1">
      <alignment horizontal="center" vertical="center"/>
      <protection locked="0"/>
    </xf>
    <xf numFmtId="3" fontId="33" fillId="10" borderId="10" xfId="0" applyNumberFormat="1" applyFont="1" applyFill="1" applyBorder="1" applyAlignment="1" applyProtection="1">
      <alignment horizontal="center" vertical="center"/>
      <protection locked="0"/>
    </xf>
    <xf numFmtId="2" fontId="0" fillId="0" borderId="0" xfId="34" applyNumberFormat="1" applyFont="1" applyBorder="1" applyAlignment="1">
      <alignment vertical="center"/>
    </xf>
    <xf numFmtId="0" fontId="129" fillId="0" borderId="0" xfId="34" applyBorder="1"/>
    <xf numFmtId="0" fontId="75" fillId="19" borderId="11" xfId="0" applyFont="1" applyFill="1" applyBorder="1" applyAlignment="1" applyProtection="1">
      <alignment horizontal="left" vertical="center"/>
    </xf>
    <xf numFmtId="0" fontId="38" fillId="19" borderId="16" xfId="0" applyFont="1" applyFill="1" applyBorder="1" applyAlignment="1" applyProtection="1">
      <alignment shrinkToFit="1"/>
    </xf>
    <xf numFmtId="0" fontId="38" fillId="19" borderId="15" xfId="0" applyFont="1" applyFill="1" applyBorder="1" applyAlignment="1" applyProtection="1">
      <alignment shrinkToFit="1"/>
    </xf>
    <xf numFmtId="3" fontId="38" fillId="9" borderId="15" xfId="29" applyNumberFormat="1" applyFont="1" applyFill="1" applyBorder="1" applyAlignment="1" applyProtection="1">
      <alignment horizontal="center" vertical="center" shrinkToFit="1"/>
      <protection hidden="1"/>
    </xf>
    <xf numFmtId="3" fontId="38" fillId="9" borderId="10" xfId="29" applyNumberFormat="1" applyFont="1" applyFill="1" applyBorder="1" applyAlignment="1" applyProtection="1">
      <alignment horizontal="center" vertical="center" shrinkToFit="1"/>
      <protection hidden="1"/>
    </xf>
    <xf numFmtId="0" fontId="9" fillId="14" borderId="0" xfId="0" applyFont="1" applyFill="1" applyBorder="1" applyAlignment="1" applyProtection="1"/>
    <xf numFmtId="0" fontId="65" fillId="14" borderId="0" xfId="0" applyFont="1" applyFill="1" applyBorder="1" applyAlignment="1" applyProtection="1"/>
    <xf numFmtId="0" fontId="41" fillId="14" borderId="0" xfId="0" applyFont="1" applyFill="1" applyBorder="1" applyAlignment="1" applyProtection="1">
      <alignment horizontal="left" vertical="center"/>
    </xf>
    <xf numFmtId="0" fontId="28" fillId="14" borderId="0" xfId="0" applyFont="1" applyFill="1" applyBorder="1" applyAlignment="1" applyProtection="1">
      <alignment horizontal="center"/>
    </xf>
    <xf numFmtId="0" fontId="41" fillId="14" borderId="0" xfId="0" applyFont="1" applyFill="1" applyBorder="1" applyAlignment="1" applyProtection="1">
      <alignment vertical="center"/>
    </xf>
    <xf numFmtId="0" fontId="33" fillId="14" borderId="0" xfId="0" applyFont="1" applyFill="1" applyBorder="1" applyAlignment="1" applyProtection="1">
      <alignment horizontal="center"/>
      <protection hidden="1"/>
    </xf>
    <xf numFmtId="0" fontId="71" fillId="14" borderId="0" xfId="0" applyFont="1" applyFill="1" applyBorder="1" applyAlignment="1" applyProtection="1">
      <alignment horizontal="right" vertical="top"/>
    </xf>
    <xf numFmtId="0" fontId="27" fillId="14" borderId="0" xfId="0" applyFont="1" applyFill="1" applyBorder="1" applyAlignment="1" applyProtection="1"/>
    <xf numFmtId="0" fontId="27" fillId="14" borderId="0" xfId="0" applyFont="1" applyFill="1" applyBorder="1" applyAlignment="1">
      <alignment horizontal="left"/>
    </xf>
    <xf numFmtId="0" fontId="65" fillId="14" borderId="0" xfId="0" applyFont="1" applyFill="1" applyBorder="1" applyAlignment="1"/>
    <xf numFmtId="166" fontId="41" fillId="16" borderId="15" xfId="0" applyNumberFormat="1" applyFont="1" applyFill="1" applyBorder="1" applyAlignment="1" applyProtection="1">
      <alignment horizontal="center" vertical="center"/>
    </xf>
    <xf numFmtId="0" fontId="33" fillId="14" borderId="0" xfId="0" applyFont="1" applyFill="1" applyBorder="1" applyAlignment="1" applyProtection="1">
      <alignment vertical="center"/>
    </xf>
    <xf numFmtId="2" fontId="41" fillId="16" borderId="10" xfId="0" applyNumberFormat="1" applyFont="1" applyFill="1" applyBorder="1" applyAlignment="1" applyProtection="1">
      <alignment horizontal="center" vertical="center"/>
    </xf>
    <xf numFmtId="0" fontId="41" fillId="24" borderId="10" xfId="0" applyFont="1" applyFill="1" applyBorder="1" applyAlignment="1" applyProtection="1">
      <alignment horizontal="center" vertical="center"/>
    </xf>
    <xf numFmtId="14" fontId="65" fillId="14" borderId="0" xfId="0" applyNumberFormat="1" applyFont="1" applyFill="1" applyBorder="1" applyAlignment="1" applyProtection="1">
      <alignment horizontal="left" vertical="center"/>
    </xf>
    <xf numFmtId="0" fontId="65" fillId="14" borderId="60" xfId="0" applyFont="1" applyFill="1" applyBorder="1" applyAlignment="1"/>
    <xf numFmtId="167" fontId="41" fillId="16" borderId="10" xfId="0" applyNumberFormat="1" applyFont="1" applyFill="1" applyBorder="1" applyAlignment="1" applyProtection="1">
      <alignment horizontal="center" vertical="center"/>
    </xf>
    <xf numFmtId="166" fontId="41" fillId="16" borderId="78" xfId="0" applyNumberFormat="1" applyFont="1" applyFill="1" applyBorder="1" applyAlignment="1" applyProtection="1">
      <alignment horizontal="center" vertical="center"/>
    </xf>
    <xf numFmtId="14" fontId="65" fillId="14" borderId="0" xfId="0" applyNumberFormat="1" applyFont="1" applyFill="1" applyBorder="1" applyAlignment="1" applyProtection="1">
      <alignment horizontal="right" vertical="center"/>
    </xf>
    <xf numFmtId="3" fontId="41" fillId="16" borderId="10" xfId="0" applyNumberFormat="1" applyFont="1" applyFill="1" applyBorder="1" applyAlignment="1" applyProtection="1">
      <alignment horizontal="center" vertical="center"/>
    </xf>
    <xf numFmtId="166" fontId="41" fillId="16" borderId="10" xfId="0" applyNumberFormat="1" applyFont="1" applyFill="1" applyBorder="1" applyAlignment="1" applyProtection="1">
      <alignment horizontal="center" vertical="center"/>
    </xf>
    <xf numFmtId="14" fontId="60" fillId="24" borderId="71" xfId="0" applyNumberFormat="1" applyFont="1" applyFill="1" applyBorder="1" applyAlignment="1" applyProtection="1">
      <alignment horizontal="right" vertical="center"/>
    </xf>
    <xf numFmtId="14" fontId="65" fillId="24" borderId="72" xfId="0" applyNumberFormat="1" applyFont="1" applyFill="1" applyBorder="1" applyAlignment="1" applyProtection="1">
      <alignment horizontal="right" vertical="center"/>
    </xf>
    <xf numFmtId="0" fontId="28" fillId="24" borderId="65" xfId="0" applyFont="1" applyFill="1" applyBorder="1" applyAlignment="1" applyProtection="1">
      <alignment horizontal="right" vertical="center"/>
    </xf>
    <xf numFmtId="0" fontId="33" fillId="10" borderId="71" xfId="0" applyFont="1" applyFill="1" applyBorder="1" applyAlignment="1" applyProtection="1">
      <alignment horizontal="center" vertical="center"/>
      <protection locked="0"/>
    </xf>
    <xf numFmtId="0" fontId="77" fillId="14" borderId="0" xfId="0" applyFont="1" applyFill="1" applyBorder="1" applyAlignment="1" applyProtection="1">
      <alignment horizontal="center"/>
      <protection hidden="1"/>
    </xf>
    <xf numFmtId="0" fontId="33" fillId="14" borderId="0" xfId="0" applyFont="1" applyFill="1" applyBorder="1" applyAlignment="1" applyProtection="1">
      <alignment horizontal="left" vertical="center"/>
    </xf>
    <xf numFmtId="14" fontId="65" fillId="24" borderId="11" xfId="0" applyNumberFormat="1" applyFont="1" applyFill="1" applyBorder="1" applyAlignment="1" applyProtection="1">
      <alignment horizontal="right" vertical="center"/>
    </xf>
    <xf numFmtId="14" fontId="65" fillId="24" borderId="16" xfId="0" applyNumberFormat="1" applyFont="1" applyFill="1" applyBorder="1" applyAlignment="1" applyProtection="1">
      <alignment horizontal="right" vertical="center"/>
    </xf>
    <xf numFmtId="0" fontId="28" fillId="24" borderId="15" xfId="0" applyFont="1" applyFill="1" applyBorder="1" applyAlignment="1" applyProtection="1">
      <alignment horizontal="right" vertical="center"/>
    </xf>
    <xf numFmtId="0" fontId="33" fillId="10" borderId="11" xfId="0" applyFont="1" applyFill="1" applyBorder="1" applyAlignment="1" applyProtection="1">
      <alignment horizontal="center" vertical="center"/>
      <protection locked="0"/>
    </xf>
    <xf numFmtId="0" fontId="41" fillId="24" borderId="46" xfId="0" applyFont="1" applyFill="1" applyBorder="1" applyAlignment="1" applyProtection="1">
      <alignment horizontal="center" vertical="center"/>
    </xf>
    <xf numFmtId="0" fontId="78" fillId="0" borderId="0" xfId="34" applyFont="1" applyFill="1" applyBorder="1"/>
    <xf numFmtId="0" fontId="64" fillId="14" borderId="0" xfId="0" applyFont="1" applyFill="1" applyBorder="1" applyAlignment="1">
      <alignment horizontal="left" vertical="center"/>
    </xf>
    <xf numFmtId="0" fontId="33" fillId="14" borderId="0" xfId="0" applyFont="1" applyFill="1" applyBorder="1" applyAlignment="1">
      <alignment horizontal="left" vertical="center"/>
    </xf>
    <xf numFmtId="0" fontId="33" fillId="14" borderId="0" xfId="0" applyFont="1" applyFill="1" applyBorder="1" applyAlignment="1">
      <alignment vertical="center"/>
    </xf>
    <xf numFmtId="0" fontId="0" fillId="0" borderId="0" xfId="34" applyFont="1" applyBorder="1"/>
    <xf numFmtId="0" fontId="0" fillId="14" borderId="0" xfId="0" applyFill="1"/>
    <xf numFmtId="0" fontId="79" fillId="14" borderId="72" xfId="0" applyFont="1" applyFill="1" applyBorder="1" applyAlignment="1">
      <alignment horizontal="left" vertical="center"/>
    </xf>
    <xf numFmtId="0" fontId="80" fillId="14" borderId="72" xfId="0" applyFont="1" applyFill="1" applyBorder="1" applyAlignment="1">
      <alignment horizontal="left" vertical="center"/>
    </xf>
    <xf numFmtId="0" fontId="0" fillId="14" borderId="72" xfId="0" applyFill="1" applyBorder="1"/>
    <xf numFmtId="0" fontId="81" fillId="14" borderId="72" xfId="25" applyNumberFormat="1" applyFont="1" applyFill="1" applyBorder="1" applyAlignment="1" applyProtection="1">
      <alignment horizontal="center" vertical="center"/>
    </xf>
    <xf numFmtId="0" fontId="23" fillId="24" borderId="78" xfId="0" applyFont="1" applyFill="1" applyBorder="1" applyAlignment="1" applyProtection="1">
      <alignment horizontal="left" vertical="center"/>
    </xf>
    <xf numFmtId="0" fontId="23" fillId="24" borderId="59" xfId="0" applyFont="1" applyFill="1" applyBorder="1" applyAlignment="1" applyProtection="1">
      <alignment horizontal="left" vertical="center"/>
    </xf>
    <xf numFmtId="0" fontId="23" fillId="24" borderId="0" xfId="0" applyFont="1" applyFill="1" applyBorder="1" applyAlignment="1" applyProtection="1">
      <alignment horizontal="left" vertical="center"/>
    </xf>
    <xf numFmtId="0" fontId="56" fillId="24" borderId="0" xfId="0" applyFont="1" applyFill="1" applyBorder="1" applyAlignment="1" applyProtection="1">
      <alignment horizontal="right" vertical="center"/>
    </xf>
    <xf numFmtId="0" fontId="0" fillId="14" borderId="59" xfId="0" applyFill="1" applyBorder="1"/>
    <xf numFmtId="0" fontId="38" fillId="14" borderId="0" xfId="0" applyFont="1" applyFill="1"/>
    <xf numFmtId="0" fontId="73" fillId="24" borderId="10" xfId="0" applyFont="1" applyFill="1" applyBorder="1" applyAlignment="1" applyProtection="1">
      <alignment horizontal="center" vertical="center" wrapText="1"/>
    </xf>
    <xf numFmtId="0" fontId="15" fillId="24" borderId="10" xfId="0" applyFont="1" applyFill="1" applyBorder="1" applyAlignment="1" applyProtection="1">
      <alignment horizontal="center" vertical="center" wrapText="1"/>
    </xf>
    <xf numFmtId="0" fontId="30" fillId="24" borderId="10" xfId="0" applyFont="1" applyFill="1" applyBorder="1" applyAlignment="1" applyProtection="1">
      <alignment horizontal="center" vertical="center" wrapText="1"/>
    </xf>
    <xf numFmtId="0" fontId="23" fillId="24" borderId="10" xfId="0" applyFont="1" applyFill="1" applyBorder="1" applyAlignment="1" applyProtection="1">
      <alignment horizontal="center" vertical="center" wrapText="1"/>
    </xf>
    <xf numFmtId="0" fontId="37" fillId="10" borderId="10" xfId="0" applyFont="1" applyFill="1" applyBorder="1" applyAlignment="1" applyProtection="1">
      <alignment horizontal="center" vertical="center"/>
      <protection locked="0"/>
    </xf>
    <xf numFmtId="3" fontId="37" fillId="10" borderId="10" xfId="0" applyNumberFormat="1" applyFont="1" applyFill="1" applyBorder="1" applyAlignment="1" applyProtection="1">
      <alignment horizontal="center" vertical="center" wrapText="1"/>
      <protection locked="0"/>
    </xf>
    <xf numFmtId="167" fontId="39" fillId="10" borderId="10" xfId="0" applyNumberFormat="1" applyFont="1" applyFill="1" applyBorder="1" applyAlignment="1" applyProtection="1">
      <alignment horizontal="center" vertical="center" wrapText="1"/>
      <protection locked="0"/>
    </xf>
    <xf numFmtId="9" fontId="15" fillId="10" borderId="10" xfId="30" applyFont="1" applyFill="1" applyBorder="1" applyAlignment="1" applyProtection="1">
      <alignment horizontal="center" vertical="center" wrapText="1"/>
      <protection locked="0"/>
    </xf>
    <xf numFmtId="4" fontId="39" fillId="10" borderId="10" xfId="0" applyNumberFormat="1" applyFont="1" applyFill="1" applyBorder="1" applyAlignment="1" applyProtection="1">
      <alignment horizontal="center" vertical="center" wrapText="1"/>
      <protection locked="0"/>
    </xf>
    <xf numFmtId="3" fontId="37" fillId="16" borderId="10" xfId="0" applyNumberFormat="1" applyFont="1" applyFill="1" applyBorder="1" applyAlignment="1" applyProtection="1">
      <alignment horizontal="center" vertical="center"/>
    </xf>
    <xf numFmtId="3" fontId="39" fillId="16" borderId="10" xfId="0" applyNumberFormat="1" applyFont="1" applyFill="1" applyBorder="1" applyAlignment="1" applyProtection="1">
      <alignment horizontal="center" vertical="center"/>
    </xf>
    <xf numFmtId="9" fontId="15" fillId="16" borderId="10" xfId="30" applyFont="1" applyFill="1" applyBorder="1" applyAlignment="1" applyProtection="1">
      <alignment horizontal="center" vertical="center"/>
    </xf>
    <xf numFmtId="0" fontId="38" fillId="24" borderId="10" xfId="0" applyFont="1" applyFill="1" applyBorder="1" applyAlignment="1">
      <alignment horizontal="center" vertical="center" wrapText="1"/>
    </xf>
    <xf numFmtId="0" fontId="39" fillId="14" borderId="0" xfId="0" applyFont="1" applyFill="1"/>
    <xf numFmtId="0" fontId="15" fillId="16" borderId="10" xfId="0" applyFont="1" applyFill="1" applyBorder="1" applyAlignment="1" applyProtection="1">
      <alignment horizontal="center" vertical="center"/>
    </xf>
    <xf numFmtId="0" fontId="56" fillId="24" borderId="60" xfId="0" applyFont="1" applyFill="1" applyBorder="1" applyAlignment="1" applyProtection="1">
      <alignment horizontal="center" vertical="center"/>
    </xf>
    <xf numFmtId="0" fontId="0" fillId="10" borderId="10" xfId="0" applyFill="1" applyBorder="1" applyAlignment="1" applyProtection="1">
      <alignment horizontal="center" vertical="center"/>
      <protection locked="0"/>
    </xf>
    <xf numFmtId="2" fontId="129" fillId="10" borderId="10" xfId="30" applyNumberFormat="1" applyFill="1" applyBorder="1" applyAlignment="1" applyProtection="1">
      <alignment horizontal="center" vertical="center"/>
      <protection locked="0"/>
    </xf>
    <xf numFmtId="10" fontId="129" fillId="16" borderId="10" xfId="30" applyNumberFormat="1" applyFill="1" applyBorder="1" applyAlignment="1" applyProtection="1">
      <alignment horizontal="center" vertical="center"/>
    </xf>
    <xf numFmtId="2" fontId="0" fillId="16" borderId="10" xfId="0" applyNumberFormat="1" applyFill="1" applyBorder="1" applyAlignment="1">
      <alignment horizontal="center" vertical="center"/>
    </xf>
    <xf numFmtId="0" fontId="39" fillId="14" borderId="0" xfId="0" applyFont="1" applyFill="1" applyAlignment="1">
      <alignment horizontal="left"/>
    </xf>
    <xf numFmtId="0" fontId="0" fillId="14" borderId="0" xfId="0" applyFill="1" applyAlignment="1">
      <alignment horizontal="center"/>
    </xf>
    <xf numFmtId="168" fontId="129" fillId="10" borderId="10" xfId="30" applyNumberFormat="1" applyFill="1" applyBorder="1" applyAlignment="1" applyProtection="1">
      <alignment horizontal="center" vertical="center"/>
      <protection locked="0"/>
    </xf>
    <xf numFmtId="10" fontId="129" fillId="10" borderId="10" xfId="30" applyNumberFormat="1" applyFill="1" applyBorder="1" applyAlignment="1" applyProtection="1">
      <alignment horizontal="center" vertical="center"/>
      <protection locked="0"/>
    </xf>
    <xf numFmtId="0" fontId="23" fillId="24" borderId="60" xfId="0" applyFont="1" applyFill="1" applyBorder="1" applyAlignment="1" applyProtection="1">
      <alignment horizontal="left" vertical="center"/>
    </xf>
    <xf numFmtId="0" fontId="15" fillId="16" borderId="11" xfId="0" applyFont="1" applyFill="1" applyBorder="1" applyAlignment="1" applyProtection="1">
      <alignment horizontal="center" vertical="center"/>
    </xf>
    <xf numFmtId="0" fontId="15" fillId="16" borderId="15" xfId="0" applyFont="1" applyFill="1" applyBorder="1" applyAlignment="1" applyProtection="1">
      <alignment horizontal="center" vertical="center"/>
    </xf>
    <xf numFmtId="0" fontId="23" fillId="14" borderId="78" xfId="0" applyFont="1" applyFill="1" applyBorder="1" applyAlignment="1" applyProtection="1">
      <alignment horizontal="left" vertical="center"/>
    </xf>
    <xf numFmtId="0" fontId="23" fillId="14" borderId="59" xfId="0" applyFont="1" applyFill="1" applyBorder="1" applyAlignment="1" applyProtection="1">
      <alignment horizontal="left" vertical="center"/>
    </xf>
    <xf numFmtId="0" fontId="23" fillId="14" borderId="0" xfId="0" applyFont="1" applyFill="1" applyBorder="1" applyAlignment="1" applyProtection="1">
      <alignment horizontal="left" vertical="center"/>
    </xf>
    <xf numFmtId="0" fontId="56" fillId="24" borderId="60" xfId="0" applyFont="1" applyFill="1" applyBorder="1" applyAlignment="1" applyProtection="1">
      <alignment horizontal="right" vertical="center"/>
    </xf>
    <xf numFmtId="0" fontId="86" fillId="24" borderId="10" xfId="0" applyFont="1" applyFill="1" applyBorder="1" applyAlignment="1" applyProtection="1">
      <alignment horizontal="center" vertical="center" wrapText="1"/>
    </xf>
    <xf numFmtId="0" fontId="56" fillId="24" borderId="10" xfId="0" applyFont="1" applyFill="1" applyBorder="1" applyAlignment="1" applyProtection="1">
      <alignment horizontal="center" vertical="center" wrapText="1"/>
    </xf>
    <xf numFmtId="0" fontId="0" fillId="16" borderId="11" xfId="0" applyFill="1" applyBorder="1"/>
    <xf numFmtId="0" fontId="0" fillId="16" borderId="16" xfId="0" applyFill="1" applyBorder="1"/>
    <xf numFmtId="0" fontId="0" fillId="16" borderId="15" xfId="0" applyFill="1" applyBorder="1"/>
    <xf numFmtId="0" fontId="46" fillId="16" borderId="10" xfId="0" applyFont="1" applyFill="1" applyBorder="1" applyAlignment="1">
      <alignment horizontal="center" vertical="center"/>
    </xf>
    <xf numFmtId="0" fontId="39" fillId="16" borderId="11" xfId="0" applyFont="1" applyFill="1" applyBorder="1" applyAlignment="1">
      <alignment vertical="center"/>
    </xf>
    <xf numFmtId="0" fontId="0" fillId="16" borderId="16" xfId="0" applyFill="1" applyBorder="1" applyAlignment="1">
      <alignment vertical="center"/>
    </xf>
    <xf numFmtId="0" fontId="0" fillId="16" borderId="15" xfId="0" applyFill="1" applyBorder="1" applyAlignment="1">
      <alignment vertical="center"/>
    </xf>
    <xf numFmtId="0" fontId="39" fillId="16" borderId="10" xfId="0" applyFont="1" applyFill="1" applyBorder="1" applyAlignment="1">
      <alignment horizontal="center" vertical="center"/>
    </xf>
    <xf numFmtId="3" fontId="9" fillId="24" borderId="46" xfId="0" applyNumberFormat="1" applyFont="1" applyFill="1" applyBorder="1" applyAlignment="1">
      <alignment horizontal="center" vertical="center"/>
    </xf>
    <xf numFmtId="3" fontId="37" fillId="24" borderId="10" xfId="0" applyNumberFormat="1" applyFont="1" applyFill="1" applyBorder="1" applyAlignment="1" applyProtection="1">
      <alignment horizontal="center" vertical="center"/>
    </xf>
    <xf numFmtId="0" fontId="27" fillId="16" borderId="11" xfId="0" applyFont="1" applyFill="1" applyBorder="1" applyAlignment="1">
      <alignment horizontal="left" vertical="center"/>
    </xf>
    <xf numFmtId="0" fontId="38" fillId="16" borderId="16" xfId="0" applyFont="1" applyFill="1" applyBorder="1" applyAlignment="1">
      <alignment horizontal="left" vertical="center"/>
    </xf>
    <xf numFmtId="0" fontId="38" fillId="16" borderId="15" xfId="0" applyFont="1" applyFill="1" applyBorder="1" applyAlignment="1">
      <alignment horizontal="left" vertical="center"/>
    </xf>
    <xf numFmtId="0" fontId="15" fillId="16" borderId="10" xfId="0" applyFont="1" applyFill="1" applyBorder="1" applyAlignment="1">
      <alignment horizontal="center" wrapText="1"/>
    </xf>
    <xf numFmtId="0" fontId="15" fillId="16" borderId="10" xfId="0" applyFont="1" applyFill="1" applyBorder="1" applyAlignment="1">
      <alignment horizontal="center"/>
    </xf>
    <xf numFmtId="0" fontId="15" fillId="16" borderId="10" xfId="0" applyFont="1" applyFill="1" applyBorder="1"/>
    <xf numFmtId="0" fontId="38" fillId="16" borderId="11" xfId="0" applyFont="1" applyFill="1" applyBorder="1" applyAlignment="1">
      <alignment horizontal="left" vertical="center"/>
    </xf>
    <xf numFmtId="0" fontId="30" fillId="16" borderId="11" xfId="0" applyFont="1" applyFill="1" applyBorder="1" applyAlignment="1" applyProtection="1">
      <alignment vertical="center" wrapText="1"/>
    </xf>
    <xf numFmtId="0" fontId="30" fillId="16" borderId="15" xfId="0" applyFont="1" applyFill="1" applyBorder="1" applyAlignment="1" applyProtection="1">
      <alignment vertical="center" wrapText="1"/>
    </xf>
    <xf numFmtId="0" fontId="0" fillId="16" borderId="60" xfId="0" applyFill="1" applyBorder="1"/>
    <xf numFmtId="0" fontId="15" fillId="16" borderId="11" xfId="0" applyFont="1" applyFill="1" applyBorder="1" applyAlignment="1">
      <alignment horizontal="left" vertical="center"/>
    </xf>
    <xf numFmtId="0" fontId="0" fillId="16" borderId="10" xfId="0" applyFont="1" applyFill="1" applyBorder="1"/>
    <xf numFmtId="0" fontId="0" fillId="16" borderId="65" xfId="0" applyFill="1" applyBorder="1"/>
    <xf numFmtId="0" fontId="15" fillId="16" borderId="46" xfId="0" applyFont="1" applyFill="1" applyBorder="1" applyAlignment="1">
      <alignment horizontal="center"/>
    </xf>
    <xf numFmtId="0" fontId="15" fillId="16" borderId="65" xfId="0" applyFont="1" applyFill="1" applyBorder="1"/>
    <xf numFmtId="0" fontId="15" fillId="16" borderId="62" xfId="0" applyFont="1" applyFill="1" applyBorder="1"/>
    <xf numFmtId="0" fontId="0" fillId="16" borderId="64" xfId="0" applyFill="1" applyBorder="1"/>
    <xf numFmtId="0" fontId="0" fillId="0" borderId="64" xfId="0" applyBorder="1"/>
    <xf numFmtId="0" fontId="0" fillId="16" borderId="63" xfId="0" applyFont="1" applyFill="1" applyBorder="1" applyAlignment="1">
      <alignment horizontal="right"/>
    </xf>
    <xf numFmtId="0" fontId="28" fillId="16" borderId="59" xfId="0" applyFont="1" applyFill="1" applyBorder="1"/>
    <xf numFmtId="0" fontId="0" fillId="16" borderId="0" xfId="0" applyFill="1" applyBorder="1"/>
    <xf numFmtId="0" fontId="0" fillId="0" borderId="0" xfId="0" applyBorder="1"/>
    <xf numFmtId="0" fontId="0" fillId="16" borderId="60" xfId="0" applyFont="1" applyFill="1" applyBorder="1" applyAlignment="1">
      <alignment horizontal="right"/>
    </xf>
    <xf numFmtId="0" fontId="28" fillId="16" borderId="71" xfId="0" applyFont="1" applyFill="1" applyBorder="1"/>
    <xf numFmtId="0" fontId="0" fillId="16" borderId="72" xfId="0" applyFill="1" applyBorder="1"/>
    <xf numFmtId="0" fontId="0" fillId="16" borderId="10" xfId="0" applyFill="1" applyBorder="1" applyAlignment="1">
      <alignment horizontal="center"/>
    </xf>
    <xf numFmtId="2" fontId="15" fillId="16" borderId="10" xfId="0" applyNumberFormat="1" applyFont="1" applyFill="1" applyBorder="1" applyAlignment="1">
      <alignment horizontal="center"/>
    </xf>
    <xf numFmtId="0" fontId="15" fillId="16" borderId="52" xfId="0" applyFont="1" applyFill="1" applyBorder="1"/>
    <xf numFmtId="0" fontId="0" fillId="16" borderId="52" xfId="0" applyFill="1" applyBorder="1" applyAlignment="1">
      <alignment horizontal="center"/>
    </xf>
    <xf numFmtId="0" fontId="15" fillId="16" borderId="52" xfId="0" applyFont="1" applyFill="1" applyBorder="1" applyAlignment="1">
      <alignment horizontal="center"/>
    </xf>
    <xf numFmtId="1" fontId="0" fillId="16" borderId="10" xfId="0" applyNumberFormat="1" applyFill="1" applyBorder="1" applyAlignment="1">
      <alignment horizontal="center"/>
    </xf>
    <xf numFmtId="0" fontId="0" fillId="16" borderId="79" xfId="0" applyFill="1" applyBorder="1"/>
    <xf numFmtId="0" fontId="52" fillId="14" borderId="0" xfId="0" applyFont="1" applyFill="1" applyBorder="1" applyAlignment="1">
      <alignment horizontal="left" vertical="center"/>
    </xf>
    <xf numFmtId="0" fontId="90" fillId="14" borderId="0" xfId="0" applyFont="1" applyFill="1" applyBorder="1" applyAlignment="1">
      <alignment horizontal="left" vertical="center"/>
    </xf>
    <xf numFmtId="0" fontId="38" fillId="14" borderId="0" xfId="0" applyFont="1" applyFill="1" applyBorder="1" applyAlignment="1">
      <alignment horizontal="left" vertical="center"/>
    </xf>
    <xf numFmtId="0" fontId="0" fillId="14" borderId="0" xfId="0" applyFill="1" applyProtection="1"/>
    <xf numFmtId="0" fontId="37" fillId="14" borderId="72" xfId="0" applyFont="1" applyFill="1" applyBorder="1" applyAlignment="1">
      <alignment horizontal="left" vertical="center"/>
    </xf>
    <xf numFmtId="0" fontId="37" fillId="14" borderId="72" xfId="0" applyFont="1" applyFill="1" applyBorder="1" applyAlignment="1">
      <alignment horizontal="center" vertical="center"/>
    </xf>
    <xf numFmtId="0" fontId="0" fillId="14" borderId="72" xfId="0" applyFill="1" applyBorder="1" applyAlignment="1"/>
    <xf numFmtId="0" fontId="0" fillId="14" borderId="0" xfId="0" applyFill="1" applyBorder="1" applyAlignment="1"/>
    <xf numFmtId="0" fontId="28" fillId="14" borderId="0" xfId="0" applyFont="1" applyFill="1" applyBorder="1" applyAlignment="1">
      <alignment horizontal="center" vertical="center"/>
    </xf>
    <xf numFmtId="0" fontId="76" fillId="14" borderId="72" xfId="0" applyFont="1" applyFill="1" applyBorder="1" applyAlignment="1">
      <alignment horizontal="left" vertical="center"/>
    </xf>
    <xf numFmtId="0" fontId="37" fillId="24" borderId="71" xfId="0" applyFont="1" applyFill="1" applyBorder="1" applyAlignment="1">
      <alignment horizontal="left" vertical="center"/>
    </xf>
    <xf numFmtId="0" fontId="27" fillId="24" borderId="65" xfId="0" applyFont="1" applyFill="1" applyBorder="1" applyAlignment="1">
      <alignment horizontal="left" vertical="center"/>
    </xf>
    <xf numFmtId="0" fontId="15" fillId="24" borderId="46" xfId="0" applyFont="1" applyFill="1" applyBorder="1" applyAlignment="1">
      <alignment horizontal="center" vertical="center" wrapText="1"/>
    </xf>
    <xf numFmtId="0" fontId="38" fillId="24" borderId="78" xfId="0" applyFont="1" applyFill="1" applyBorder="1" applyAlignment="1">
      <alignment horizontal="center" vertical="center" wrapText="1"/>
    </xf>
    <xf numFmtId="0" fontId="38" fillId="24" borderId="46" xfId="0" applyFont="1" applyFill="1" applyBorder="1" applyAlignment="1">
      <alignment horizontal="center" vertical="center" wrapText="1"/>
    </xf>
    <xf numFmtId="0" fontId="38" fillId="24" borderId="71" xfId="0" applyFont="1" applyFill="1" applyBorder="1" applyAlignment="1">
      <alignment horizontal="center" vertical="center" wrapText="1"/>
    </xf>
    <xf numFmtId="0" fontId="23" fillId="24" borderId="11" xfId="0" applyFont="1" applyFill="1" applyBorder="1" applyAlignment="1">
      <alignment vertical="center"/>
    </xf>
    <xf numFmtId="0" fontId="23" fillId="24" borderId="16" xfId="0" applyFont="1" applyFill="1" applyBorder="1" applyAlignment="1">
      <alignment vertical="center" wrapText="1"/>
    </xf>
    <xf numFmtId="0" fontId="23" fillId="24" borderId="15" xfId="0" applyFont="1" applyFill="1" applyBorder="1" applyAlignment="1">
      <alignment vertical="center" wrapText="1"/>
    </xf>
    <xf numFmtId="0" fontId="78" fillId="24" borderId="10" xfId="0" applyFont="1" applyFill="1" applyBorder="1" applyAlignment="1" applyProtection="1">
      <alignment horizontal="center" vertical="center" wrapText="1"/>
    </xf>
    <xf numFmtId="0" fontId="26" fillId="24" borderId="10" xfId="0" applyFont="1" applyFill="1" applyBorder="1" applyAlignment="1">
      <alignment horizontal="center" vertical="center" wrapText="1"/>
    </xf>
    <xf numFmtId="0" fontId="0" fillId="16" borderId="0" xfId="0" applyFont="1" applyFill="1" applyAlignment="1">
      <alignment wrapText="1"/>
    </xf>
    <xf numFmtId="0" fontId="38" fillId="24" borderId="11" xfId="0" applyFont="1" applyFill="1" applyBorder="1" applyAlignment="1">
      <alignment horizontal="left" vertical="center"/>
    </xf>
    <xf numFmtId="0" fontId="38" fillId="24" borderId="15" xfId="0" applyFont="1" applyFill="1" applyBorder="1" applyAlignment="1">
      <alignment horizontal="left" vertical="center"/>
    </xf>
    <xf numFmtId="167" fontId="37" fillId="16" borderId="10" xfId="0" applyNumberFormat="1" applyFont="1" applyFill="1" applyBorder="1" applyAlignment="1" applyProtection="1">
      <alignment horizontal="center" vertical="center" shrinkToFit="1"/>
    </xf>
    <xf numFmtId="167" fontId="37" fillId="16" borderId="11" xfId="0" applyNumberFormat="1" applyFont="1" applyFill="1" applyBorder="1" applyAlignment="1" applyProtection="1">
      <alignment horizontal="center" vertical="center" shrinkToFit="1"/>
    </xf>
    <xf numFmtId="9" fontId="15" fillId="14" borderId="15" xfId="30" applyFont="1" applyFill="1" applyBorder="1" applyAlignment="1" applyProtection="1">
      <alignment horizontal="center" vertical="center"/>
      <protection hidden="1"/>
    </xf>
    <xf numFmtId="9" fontId="15" fillId="10" borderId="10" xfId="30" applyFont="1" applyFill="1" applyBorder="1" applyAlignment="1" applyProtection="1">
      <alignment horizontal="center" vertical="center"/>
      <protection locked="0" hidden="1"/>
    </xf>
    <xf numFmtId="0" fontId="9" fillId="24" borderId="71" xfId="0" applyFont="1" applyFill="1" applyBorder="1" applyAlignment="1">
      <alignment vertical="center"/>
    </xf>
    <xf numFmtId="0" fontId="86" fillId="24" borderId="72" xfId="0" applyFont="1" applyFill="1" applyBorder="1" applyAlignment="1">
      <alignment vertical="center"/>
    </xf>
    <xf numFmtId="9" fontId="0" fillId="24" borderId="11" xfId="0" applyNumberFormat="1" applyFill="1" applyBorder="1" applyAlignment="1">
      <alignment horizontal="center" vertical="center"/>
    </xf>
    <xf numFmtId="0" fontId="28" fillId="24" borderId="11" xfId="0" applyFont="1" applyFill="1" applyBorder="1" applyAlignment="1" applyProtection="1">
      <alignment horizontal="left" vertical="center"/>
    </xf>
    <xf numFmtId="0" fontId="0" fillId="24" borderId="15" xfId="0" applyFill="1" applyBorder="1" applyAlignment="1" applyProtection="1">
      <alignment horizontal="left"/>
    </xf>
    <xf numFmtId="0" fontId="38" fillId="21" borderId="10" xfId="0" applyFont="1" applyFill="1" applyBorder="1" applyAlignment="1" applyProtection="1">
      <alignment horizontal="center" vertical="center"/>
    </xf>
    <xf numFmtId="2" fontId="15" fillId="21" borderId="10" xfId="0" applyNumberFormat="1" applyFont="1" applyFill="1" applyBorder="1" applyAlignment="1" applyProtection="1">
      <alignment horizontal="center" vertical="center"/>
    </xf>
    <xf numFmtId="9" fontId="30" fillId="21" borderId="10" xfId="30" applyFont="1" applyFill="1" applyBorder="1" applyAlignment="1" applyProtection="1">
      <alignment horizontal="center" vertical="center"/>
      <protection hidden="1"/>
    </xf>
    <xf numFmtId="9" fontId="15" fillId="10" borderId="15" xfId="30" applyFont="1" applyFill="1" applyBorder="1" applyAlignment="1" applyProtection="1">
      <alignment horizontal="center" vertical="center"/>
      <protection locked="0" hidden="1"/>
    </xf>
    <xf numFmtId="0" fontId="9" fillId="24" borderId="11" xfId="0" applyFont="1" applyFill="1" applyBorder="1" applyAlignment="1">
      <alignment vertical="center"/>
    </xf>
    <xf numFmtId="0" fontId="86" fillId="24" borderId="16" xfId="0" applyFont="1" applyFill="1" applyBorder="1" applyAlignment="1">
      <alignment vertical="center"/>
    </xf>
    <xf numFmtId="0" fontId="15" fillId="24" borderId="11" xfId="29" applyNumberFormat="1" applyFont="1" applyFill="1" applyBorder="1" applyAlignment="1" applyProtection="1">
      <alignment horizontal="center" vertical="center"/>
    </xf>
    <xf numFmtId="0" fontId="0" fillId="24" borderId="11" xfId="0" applyFont="1" applyFill="1" applyBorder="1" applyAlignment="1" applyProtection="1">
      <alignment horizontal="left" vertical="center"/>
    </xf>
    <xf numFmtId="0" fontId="15" fillId="14" borderId="0" xfId="11" applyNumberFormat="1" applyFont="1" applyFill="1" applyBorder="1" applyAlignment="1" applyProtection="1"/>
    <xf numFmtId="0" fontId="0" fillId="16" borderId="52" xfId="0" applyFont="1" applyFill="1" applyBorder="1" applyAlignment="1">
      <alignment horizontal="center" vertical="center"/>
    </xf>
    <xf numFmtId="9" fontId="0" fillId="24" borderId="10" xfId="0" applyNumberFormat="1" applyFill="1" applyBorder="1" applyAlignment="1">
      <alignment horizontal="center" vertical="center"/>
    </xf>
    <xf numFmtId="9" fontId="15" fillId="16" borderId="10" xfId="30" applyFont="1" applyFill="1" applyBorder="1" applyAlignment="1" applyProtection="1">
      <alignment horizontal="center" vertical="center"/>
      <protection hidden="1"/>
    </xf>
    <xf numFmtId="166" fontId="38" fillId="24" borderId="16" xfId="0" applyNumberFormat="1" applyFont="1" applyFill="1" applyBorder="1" applyAlignment="1" applyProtection="1">
      <alignment horizontal="left" vertical="center"/>
    </xf>
    <xf numFmtId="0" fontId="15" fillId="24" borderId="11" xfId="0" applyFont="1" applyFill="1" applyBorder="1" applyAlignment="1">
      <alignment horizontal="left" vertical="center"/>
    </xf>
    <xf numFmtId="169" fontId="24" fillId="10" borderId="15" xfId="20" applyNumberFormat="1" applyFont="1" applyFill="1" applyBorder="1" applyAlignment="1" applyProtection="1">
      <alignment horizontal="center" vertical="center" shrinkToFit="1"/>
      <protection locked="0" hidden="1"/>
    </xf>
    <xf numFmtId="169" fontId="24" fillId="10" borderId="10" xfId="20" applyNumberFormat="1" applyFont="1" applyFill="1" applyBorder="1" applyAlignment="1" applyProtection="1">
      <alignment horizontal="center" vertical="center" shrinkToFit="1"/>
      <protection locked="0" hidden="1"/>
    </xf>
    <xf numFmtId="166" fontId="38" fillId="14" borderId="0" xfId="0" applyNumberFormat="1" applyFont="1" applyFill="1" applyBorder="1" applyAlignment="1" applyProtection="1">
      <alignment horizontal="left" vertical="center"/>
    </xf>
    <xf numFmtId="0" fontId="30" fillId="14" borderId="0" xfId="0" applyFont="1" applyFill="1" applyAlignment="1">
      <alignment vertical="top"/>
    </xf>
    <xf numFmtId="9" fontId="15" fillId="14" borderId="0" xfId="30" applyFont="1" applyFill="1" applyBorder="1" applyAlignment="1" applyProtection="1">
      <alignment horizontal="center" vertical="center"/>
      <protection hidden="1"/>
    </xf>
    <xf numFmtId="0" fontId="28" fillId="24" borderId="11" xfId="0" applyFont="1" applyFill="1" applyBorder="1" applyAlignment="1" applyProtection="1">
      <alignment horizontal="left" vertical="top"/>
    </xf>
    <xf numFmtId="0" fontId="0" fillId="24" borderId="15" xfId="0" applyFill="1" applyBorder="1" applyAlignment="1" applyProtection="1">
      <alignment horizontal="left" vertical="top"/>
    </xf>
    <xf numFmtId="0" fontId="38" fillId="21" borderId="10" xfId="0" applyFont="1" applyFill="1" applyBorder="1" applyAlignment="1" applyProtection="1">
      <alignment horizontal="center" vertical="top"/>
    </xf>
    <xf numFmtId="2" fontId="15" fillId="21" borderId="10" xfId="0" applyNumberFormat="1" applyFont="1" applyFill="1" applyBorder="1" applyAlignment="1" applyProtection="1">
      <alignment horizontal="center" vertical="top"/>
    </xf>
    <xf numFmtId="9" fontId="30" fillId="21" borderId="10" xfId="30" applyFont="1" applyFill="1" applyBorder="1" applyAlignment="1" applyProtection="1">
      <alignment horizontal="center" vertical="top"/>
      <protection hidden="1"/>
    </xf>
    <xf numFmtId="0" fontId="15" fillId="21" borderId="10" xfId="0" applyFont="1" applyFill="1" applyBorder="1" applyAlignment="1">
      <alignment horizontal="center" vertical="top"/>
    </xf>
    <xf numFmtId="0" fontId="79" fillId="14" borderId="0" xfId="0" applyFont="1" applyFill="1"/>
    <xf numFmtId="0" fontId="30" fillId="14" borderId="0" xfId="0" applyFont="1" applyFill="1"/>
    <xf numFmtId="0" fontId="30" fillId="14" borderId="0" xfId="0" applyFont="1" applyFill="1" applyBorder="1" applyAlignment="1">
      <alignment horizontal="right" vertical="top"/>
    </xf>
    <xf numFmtId="0" fontId="28" fillId="24" borderId="10" xfId="0" applyFont="1" applyFill="1" applyBorder="1" applyAlignment="1">
      <alignment horizontal="center" vertical="center" wrapText="1"/>
    </xf>
    <xf numFmtId="0" fontId="70" fillId="24" borderId="11" xfId="0" applyFont="1" applyFill="1" applyBorder="1" applyAlignment="1">
      <alignment horizontal="center" vertical="center" wrapText="1"/>
    </xf>
    <xf numFmtId="0" fontId="60" fillId="24" borderId="11" xfId="0" applyFont="1" applyFill="1" applyBorder="1" applyAlignment="1" applyProtection="1">
      <alignment horizontal="center" vertical="center" wrapText="1"/>
    </xf>
    <xf numFmtId="0" fontId="76" fillId="24" borderId="10" xfId="0" applyFont="1" applyFill="1" applyBorder="1" applyAlignment="1" applyProtection="1">
      <alignment horizontal="center" vertical="center" wrapText="1"/>
    </xf>
    <xf numFmtId="0" fontId="15" fillId="24" borderId="15" xfId="0" applyFont="1" applyFill="1" applyBorder="1" applyAlignment="1" applyProtection="1">
      <alignment horizontal="center" vertical="center" wrapText="1"/>
    </xf>
    <xf numFmtId="0" fontId="15" fillId="24" borderId="11" xfId="0" applyFont="1" applyFill="1" applyBorder="1" applyAlignment="1" applyProtection="1">
      <alignment horizontal="center" vertical="center" wrapText="1"/>
    </xf>
    <xf numFmtId="0" fontId="28" fillId="24" borderId="10" xfId="0" applyFont="1" applyFill="1" applyBorder="1" applyAlignment="1" applyProtection="1">
      <alignment horizontal="left" vertical="center" wrapText="1"/>
    </xf>
    <xf numFmtId="169" fontId="76" fillId="10" borderId="15" xfId="20" applyNumberFormat="1" applyFont="1" applyFill="1" applyBorder="1" applyAlignment="1" applyProtection="1">
      <alignment horizontal="left" vertical="center"/>
      <protection locked="0" hidden="1"/>
    </xf>
    <xf numFmtId="167" fontId="27" fillId="16" borderId="46" xfId="0" applyNumberFormat="1" applyFont="1" applyFill="1" applyBorder="1" applyAlignment="1" applyProtection="1">
      <alignment horizontal="center" vertical="center"/>
    </xf>
    <xf numFmtId="167" fontId="27" fillId="16" borderId="71" xfId="0" applyNumberFormat="1" applyFont="1" applyFill="1" applyBorder="1" applyAlignment="1" applyProtection="1">
      <alignment horizontal="center" vertical="center"/>
    </xf>
    <xf numFmtId="3" fontId="37" fillId="10" borderId="11" xfId="0" applyNumberFormat="1" applyFont="1" applyFill="1" applyBorder="1" applyAlignment="1" applyProtection="1">
      <alignment horizontal="center" vertical="center" shrinkToFit="1"/>
      <protection locked="0"/>
    </xf>
    <xf numFmtId="3" fontId="24" fillId="10" borderId="10" xfId="0" applyNumberFormat="1" applyFont="1" applyFill="1" applyBorder="1" applyAlignment="1" applyProtection="1">
      <alignment horizontal="center" vertical="center"/>
      <protection locked="0"/>
    </xf>
    <xf numFmtId="166" fontId="38" fillId="16" borderId="15" xfId="0" applyNumberFormat="1" applyFont="1" applyFill="1" applyBorder="1" applyAlignment="1" applyProtection="1">
      <alignment horizontal="center" vertical="center"/>
    </xf>
    <xf numFmtId="2" fontId="38" fillId="16" borderId="10" xfId="0" applyNumberFormat="1" applyFont="1" applyFill="1" applyBorder="1" applyAlignment="1" applyProtection="1">
      <alignment horizontal="center" vertical="center"/>
    </xf>
    <xf numFmtId="166" fontId="38" fillId="16" borderId="10" xfId="0" applyNumberFormat="1" applyFont="1" applyFill="1" applyBorder="1" applyAlignment="1" applyProtection="1">
      <alignment horizontal="center" vertical="center"/>
    </xf>
    <xf numFmtId="9" fontId="15" fillId="24" borderId="10" xfId="30" applyFont="1" applyFill="1" applyBorder="1" applyAlignment="1" applyProtection="1">
      <alignment horizontal="center" vertical="center"/>
      <protection hidden="1"/>
    </xf>
    <xf numFmtId="9" fontId="38" fillId="24" borderId="10" xfId="0" applyNumberFormat="1" applyFont="1" applyFill="1" applyBorder="1" applyAlignment="1" applyProtection="1">
      <alignment horizontal="center" vertical="center"/>
    </xf>
    <xf numFmtId="2" fontId="15" fillId="24" borderId="10" xfId="30" applyNumberFormat="1" applyFont="1" applyFill="1" applyBorder="1" applyAlignment="1" applyProtection="1">
      <alignment horizontal="center" vertical="center"/>
      <protection hidden="1"/>
    </xf>
    <xf numFmtId="0" fontId="0" fillId="0" borderId="11" xfId="0" applyFill="1" applyBorder="1"/>
    <xf numFmtId="0" fontId="28" fillId="0" borderId="10" xfId="0" applyFont="1" applyFill="1" applyBorder="1" applyAlignment="1">
      <alignment horizontal="right"/>
    </xf>
    <xf numFmtId="0" fontId="0" fillId="0" borderId="10" xfId="0" applyFill="1" applyBorder="1" applyAlignment="1">
      <alignment horizontal="center"/>
    </xf>
    <xf numFmtId="0" fontId="0" fillId="0" borderId="0" xfId="0" applyFill="1" applyProtection="1"/>
    <xf numFmtId="0" fontId="0" fillId="0" borderId="0" xfId="0" applyFill="1"/>
    <xf numFmtId="167" fontId="27" fillId="16" borderId="10" xfId="0" applyNumberFormat="1" applyFont="1" applyFill="1" applyBorder="1" applyAlignment="1" applyProtection="1">
      <alignment horizontal="center" vertical="center"/>
    </xf>
    <xf numFmtId="167" fontId="27" fillId="16" borderId="11"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38" fillId="0" borderId="0" xfId="0" applyFont="1" applyFill="1" applyBorder="1" applyAlignment="1">
      <alignment horizontal="left" vertical="center"/>
    </xf>
    <xf numFmtId="0" fontId="39" fillId="0" borderId="10" xfId="0" applyFont="1" applyFill="1" applyBorder="1" applyAlignment="1">
      <alignment horizontal="center" vertical="center"/>
    </xf>
    <xf numFmtId="0" fontId="0" fillId="0" borderId="10" xfId="0" applyFont="1" applyFill="1" applyBorder="1"/>
    <xf numFmtId="1" fontId="38" fillId="0" borderId="15" xfId="0" applyNumberFormat="1" applyFont="1" applyFill="1" applyBorder="1" applyAlignment="1" applyProtection="1">
      <alignment horizontal="center" vertical="center"/>
    </xf>
    <xf numFmtId="1" fontId="38" fillId="0" borderId="10" xfId="0" applyNumberFormat="1" applyFont="1" applyFill="1" applyBorder="1" applyAlignment="1" applyProtection="1">
      <alignment horizontal="center" vertical="center"/>
    </xf>
    <xf numFmtId="9" fontId="15" fillId="0" borderId="10" xfId="30" applyFont="1" applyFill="1" applyBorder="1" applyAlignment="1" applyProtection="1">
      <alignment horizontal="center" vertical="center"/>
      <protection hidden="1"/>
    </xf>
    <xf numFmtId="1" fontId="38" fillId="16" borderId="10" xfId="0" applyNumberFormat="1" applyFont="1" applyFill="1" applyBorder="1" applyAlignment="1" applyProtection="1">
      <alignment horizontal="center" vertical="center"/>
    </xf>
    <xf numFmtId="1" fontId="38" fillId="16" borderId="15" xfId="0" applyNumberFormat="1" applyFont="1" applyFill="1" applyBorder="1" applyAlignment="1" applyProtection="1">
      <alignment horizontal="center" vertical="center"/>
    </xf>
    <xf numFmtId="1" fontId="38" fillId="16" borderId="46" xfId="0" applyNumberFormat="1" applyFont="1" applyFill="1" applyBorder="1" applyAlignment="1" applyProtection="1">
      <alignment horizontal="center" vertical="center"/>
    </xf>
    <xf numFmtId="0" fontId="65" fillId="24" borderId="10" xfId="0" applyFont="1" applyFill="1" applyBorder="1" applyAlignment="1" applyProtection="1">
      <alignment horizontal="left" vertical="center" wrapText="1"/>
    </xf>
    <xf numFmtId="9" fontId="15" fillId="0" borderId="52" xfId="30" applyFont="1" applyFill="1" applyBorder="1" applyAlignment="1" applyProtection="1">
      <alignment horizontal="center" vertical="center"/>
      <protection hidden="1"/>
    </xf>
    <xf numFmtId="1" fontId="38" fillId="16" borderId="52" xfId="0" applyNumberFormat="1" applyFont="1" applyFill="1" applyBorder="1" applyAlignment="1" applyProtection="1">
      <alignment horizontal="center" vertical="center"/>
    </xf>
    <xf numFmtId="9" fontId="15" fillId="16" borderId="52" xfId="30" applyFont="1" applyFill="1" applyBorder="1" applyAlignment="1" applyProtection="1">
      <alignment horizontal="center" vertical="center"/>
      <protection hidden="1"/>
    </xf>
    <xf numFmtId="0" fontId="37" fillId="24" borderId="10"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9" fillId="24" borderId="10" xfId="0" applyFont="1" applyFill="1" applyBorder="1" applyAlignment="1" applyProtection="1">
      <alignment horizontal="center" vertical="center" wrapText="1"/>
    </xf>
    <xf numFmtId="0" fontId="15" fillId="24" borderId="10" xfId="0" applyFont="1" applyFill="1" applyBorder="1" applyAlignment="1" applyProtection="1">
      <alignment horizontal="center" vertical="center"/>
    </xf>
    <xf numFmtId="0" fontId="15" fillId="24" borderId="63" xfId="0" applyFont="1" applyFill="1" applyBorder="1" applyAlignment="1" applyProtection="1">
      <alignment horizontal="center" vertical="center" wrapText="1"/>
    </xf>
    <xf numFmtId="1" fontId="38" fillId="16" borderId="11" xfId="0" applyNumberFormat="1" applyFont="1" applyFill="1" applyBorder="1" applyAlignment="1" applyProtection="1">
      <alignment horizontal="center" vertical="center"/>
    </xf>
    <xf numFmtId="0" fontId="0" fillId="24" borderId="11" xfId="0" applyFont="1" applyFill="1" applyBorder="1" applyAlignment="1">
      <alignment horizontal="left" vertical="center"/>
    </xf>
    <xf numFmtId="167" fontId="39" fillId="16" borderId="10" xfId="0" applyNumberFormat="1" applyFont="1" applyFill="1" applyBorder="1" applyAlignment="1" applyProtection="1">
      <alignment horizontal="left" vertical="center"/>
    </xf>
    <xf numFmtId="3" fontId="27" fillId="16" borderId="10" xfId="0" applyNumberFormat="1" applyFont="1" applyFill="1" applyBorder="1" applyAlignment="1" applyProtection="1">
      <alignment horizontal="center"/>
    </xf>
    <xf numFmtId="3" fontId="27" fillId="16" borderId="11" xfId="0" applyNumberFormat="1" applyFont="1" applyFill="1" applyBorder="1" applyAlignment="1" applyProtection="1">
      <alignment horizontal="center"/>
    </xf>
    <xf numFmtId="3" fontId="37" fillId="16" borderId="10" xfId="0" applyNumberFormat="1" applyFont="1" applyFill="1" applyBorder="1" applyAlignment="1" applyProtection="1">
      <alignment horizontal="center" vertical="center" shrinkToFit="1"/>
    </xf>
    <xf numFmtId="0" fontId="0" fillId="24" borderId="60" xfId="0" applyFill="1" applyBorder="1" applyProtection="1"/>
    <xf numFmtId="0" fontId="0" fillId="14" borderId="52" xfId="0" applyFont="1" applyFill="1" applyBorder="1"/>
    <xf numFmtId="1" fontId="38" fillId="16" borderId="63" xfId="0" applyNumberFormat="1" applyFont="1" applyFill="1" applyBorder="1" applyAlignment="1" applyProtection="1">
      <alignment horizontal="center" vertical="center"/>
    </xf>
    <xf numFmtId="0" fontId="9" fillId="14" borderId="56" xfId="0" applyFont="1" applyFill="1" applyBorder="1" applyAlignment="1">
      <alignment vertical="center"/>
    </xf>
    <xf numFmtId="166" fontId="38" fillId="16" borderId="35" xfId="0" applyNumberFormat="1" applyFont="1" applyFill="1" applyBorder="1" applyAlignment="1" applyProtection="1">
      <alignment horizontal="center" vertical="center"/>
    </xf>
    <xf numFmtId="166" fontId="38" fillId="16" borderId="80" xfId="0" applyNumberFormat="1" applyFont="1" applyFill="1" applyBorder="1" applyAlignment="1" applyProtection="1">
      <alignment horizontal="center" vertical="center"/>
    </xf>
    <xf numFmtId="166" fontId="38" fillId="16" borderId="37" xfId="0" applyNumberFormat="1" applyFont="1" applyFill="1" applyBorder="1" applyAlignment="1" applyProtection="1">
      <alignment horizontal="center" vertical="center"/>
    </xf>
    <xf numFmtId="9" fontId="0" fillId="16" borderId="26" xfId="0" applyNumberFormat="1" applyFill="1" applyBorder="1" applyAlignment="1" applyProtection="1">
      <alignment horizontal="center"/>
    </xf>
    <xf numFmtId="166" fontId="38" fillId="16" borderId="56" xfId="0" applyNumberFormat="1" applyFont="1" applyFill="1" applyBorder="1" applyAlignment="1" applyProtection="1">
      <alignment horizontal="center" vertical="center"/>
    </xf>
    <xf numFmtId="2" fontId="38" fillId="16" borderId="46" xfId="0" applyNumberFormat="1" applyFont="1" applyFill="1" applyBorder="1" applyAlignment="1" applyProtection="1">
      <alignment horizontal="center" vertical="center"/>
    </xf>
    <xf numFmtId="2" fontId="0" fillId="16" borderId="46" xfId="0" applyNumberFormat="1" applyFill="1" applyBorder="1" applyAlignment="1" applyProtection="1">
      <alignment horizontal="center"/>
    </xf>
    <xf numFmtId="0" fontId="38" fillId="16" borderId="46" xfId="0" applyFont="1" applyFill="1" applyBorder="1" applyAlignment="1" applyProtection="1">
      <alignment horizontal="center" vertical="center"/>
    </xf>
    <xf numFmtId="2" fontId="0" fillId="16" borderId="46" xfId="0" applyNumberFormat="1" applyFill="1" applyBorder="1" applyAlignment="1">
      <alignment horizontal="center"/>
    </xf>
    <xf numFmtId="0" fontId="38" fillId="16" borderId="46" xfId="0" applyFont="1" applyFill="1" applyBorder="1" applyAlignment="1">
      <alignment horizontal="center" vertical="center"/>
    </xf>
    <xf numFmtId="2" fontId="0" fillId="16" borderId="10" xfId="0" applyNumberFormat="1" applyFill="1" applyBorder="1" applyAlignment="1" applyProtection="1">
      <alignment horizontal="center"/>
    </xf>
    <xf numFmtId="0" fontId="38" fillId="16" borderId="10" xfId="0" applyFont="1" applyFill="1" applyBorder="1" applyAlignment="1" applyProtection="1">
      <alignment horizontal="center" vertical="center"/>
    </xf>
    <xf numFmtId="2" fontId="0" fillId="16" borderId="10" xfId="0" applyNumberFormat="1" applyFill="1" applyBorder="1" applyAlignment="1">
      <alignment horizontal="center"/>
    </xf>
    <xf numFmtId="0" fontId="38" fillId="16" borderId="10" xfId="0" applyFont="1" applyFill="1" applyBorder="1" applyAlignment="1">
      <alignment horizontal="center" vertical="center"/>
    </xf>
    <xf numFmtId="2" fontId="0" fillId="16" borderId="52" xfId="0" applyNumberFormat="1" applyFill="1" applyBorder="1" applyAlignment="1" applyProtection="1">
      <alignment horizontal="center"/>
    </xf>
    <xf numFmtId="9" fontId="38" fillId="16" borderId="14" xfId="30" applyFont="1" applyFill="1" applyBorder="1" applyAlignment="1" applyProtection="1">
      <alignment horizontal="center" vertical="center"/>
    </xf>
    <xf numFmtId="166" fontId="38" fillId="16" borderId="14" xfId="0" applyNumberFormat="1" applyFont="1" applyFill="1" applyBorder="1" applyAlignment="1" applyProtection="1">
      <alignment horizontal="center" vertical="center"/>
    </xf>
    <xf numFmtId="166" fontId="38" fillId="16" borderId="12" xfId="0" applyNumberFormat="1" applyFont="1" applyFill="1" applyBorder="1" applyAlignment="1" applyProtection="1">
      <alignment horizontal="center" vertical="center"/>
    </xf>
    <xf numFmtId="0" fontId="0" fillId="24" borderId="62" xfId="0" applyFont="1" applyFill="1" applyBorder="1" applyAlignment="1">
      <alignment horizontal="left" vertical="center"/>
    </xf>
    <xf numFmtId="0" fontId="38" fillId="0" borderId="0" xfId="0" applyFont="1" applyFill="1" applyBorder="1" applyAlignment="1">
      <alignment horizontal="right" vertical="center"/>
    </xf>
    <xf numFmtId="167" fontId="38" fillId="16" borderId="10" xfId="0" applyNumberFormat="1" applyFont="1" applyFill="1" applyBorder="1" applyAlignment="1">
      <alignment horizontal="center" vertical="center"/>
    </xf>
    <xf numFmtId="0" fontId="0" fillId="24" borderId="65" xfId="0" applyFill="1" applyBorder="1" applyProtection="1"/>
    <xf numFmtId="0" fontId="30" fillId="19" borderId="28"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29" xfId="0" applyFont="1" applyFill="1" applyBorder="1" applyAlignment="1">
      <alignment horizontal="center" vertical="center"/>
    </xf>
    <xf numFmtId="0" fontId="30" fillId="19" borderId="15" xfId="0" applyFont="1" applyFill="1" applyBorder="1" applyAlignment="1">
      <alignment horizontal="center" vertical="center"/>
    </xf>
    <xf numFmtId="0" fontId="30" fillId="19" borderId="11" xfId="0" applyFont="1" applyFill="1" applyBorder="1" applyAlignment="1">
      <alignment horizontal="center" vertical="center"/>
    </xf>
    <xf numFmtId="0" fontId="30" fillId="24" borderId="43" xfId="0" applyFont="1" applyFill="1" applyBorder="1" applyAlignment="1">
      <alignment horizontal="left" vertical="center"/>
    </xf>
    <xf numFmtId="0" fontId="30" fillId="24" borderId="60" xfId="0" applyFont="1" applyFill="1" applyBorder="1" applyAlignment="1">
      <alignment horizontal="left" vertical="center"/>
    </xf>
    <xf numFmtId="3" fontId="30" fillId="0" borderId="10" xfId="0" applyNumberFormat="1" applyFont="1" applyFill="1" applyBorder="1" applyAlignment="1">
      <alignment horizontal="center" vertical="center"/>
    </xf>
    <xf numFmtId="3" fontId="30" fillId="0" borderId="11" xfId="0" applyNumberFormat="1" applyFont="1" applyFill="1" applyBorder="1" applyAlignment="1">
      <alignment horizontal="center" vertical="center"/>
    </xf>
    <xf numFmtId="3" fontId="30" fillId="0" borderId="28" xfId="0" applyNumberFormat="1" applyFont="1" applyFill="1" applyBorder="1" applyAlignment="1">
      <alignment horizontal="center" vertical="center"/>
    </xf>
    <xf numFmtId="3" fontId="30" fillId="0" borderId="29" xfId="0" applyNumberFormat="1" applyFont="1" applyFill="1" applyBorder="1" applyAlignment="1">
      <alignment horizontal="center" vertical="center"/>
    </xf>
    <xf numFmtId="3" fontId="30" fillId="0" borderId="15" xfId="0" applyNumberFormat="1" applyFont="1" applyFill="1" applyBorder="1" applyAlignment="1">
      <alignment horizontal="center" vertical="center"/>
    </xf>
    <xf numFmtId="0" fontId="30" fillId="14" borderId="22" xfId="0" applyFont="1" applyFill="1" applyBorder="1" applyAlignment="1">
      <alignment horizontal="center" vertical="center" shrinkToFit="1"/>
    </xf>
    <xf numFmtId="0" fontId="30" fillId="14" borderId="21" xfId="0" applyFont="1" applyFill="1" applyBorder="1" applyAlignment="1">
      <alignment horizontal="right" vertical="center"/>
    </xf>
    <xf numFmtId="0" fontId="30" fillId="14" borderId="21" xfId="0" applyFont="1" applyFill="1" applyBorder="1" applyAlignment="1">
      <alignment horizontal="center" vertical="center" shrinkToFit="1"/>
    </xf>
    <xf numFmtId="0" fontId="30" fillId="14" borderId="81" xfId="0" applyFont="1" applyFill="1" applyBorder="1" applyAlignment="1">
      <alignment horizontal="center" vertical="center" shrinkToFit="1"/>
    </xf>
    <xf numFmtId="166" fontId="30" fillId="14" borderId="53" xfId="0" applyNumberFormat="1" applyFont="1" applyFill="1" applyBorder="1" applyAlignment="1">
      <alignment horizontal="center" vertical="center" shrinkToFit="1"/>
    </xf>
    <xf numFmtId="166" fontId="30" fillId="14" borderId="52" xfId="0" applyNumberFormat="1" applyFont="1" applyFill="1" applyBorder="1" applyAlignment="1">
      <alignment horizontal="center" vertical="center" shrinkToFit="1"/>
    </xf>
    <xf numFmtId="166" fontId="30" fillId="14" borderId="75" xfId="0" applyNumberFormat="1" applyFont="1" applyFill="1" applyBorder="1" applyAlignment="1">
      <alignment horizontal="center" vertical="center" shrinkToFit="1"/>
    </xf>
    <xf numFmtId="166" fontId="30" fillId="14" borderId="63" xfId="0" applyNumberFormat="1" applyFont="1" applyFill="1" applyBorder="1" applyAlignment="1">
      <alignment horizontal="center" vertical="center" shrinkToFit="1"/>
    </xf>
    <xf numFmtId="166" fontId="30" fillId="14" borderId="62" xfId="0" applyNumberFormat="1" applyFont="1" applyFill="1" applyBorder="1" applyAlignment="1">
      <alignment horizontal="center" vertical="center" shrinkToFit="1"/>
    </xf>
    <xf numFmtId="0" fontId="30" fillId="14" borderId="0" xfId="0" applyFont="1" applyFill="1" applyBorder="1" applyProtection="1">
      <protection locked="0"/>
    </xf>
    <xf numFmtId="0" fontId="30" fillId="14" borderId="0" xfId="0" applyFont="1" applyFill="1" applyBorder="1" applyAlignment="1" applyProtection="1">
      <alignment shrinkToFit="1"/>
      <protection locked="0"/>
    </xf>
    <xf numFmtId="0" fontId="9" fillId="14" borderId="0" xfId="0" applyFont="1" applyFill="1" applyBorder="1" applyAlignment="1" applyProtection="1">
      <alignment horizontal="right" vertical="center" indent="1"/>
      <protection locked="0"/>
    </xf>
    <xf numFmtId="3" fontId="30" fillId="14" borderId="28" xfId="0" applyNumberFormat="1" applyFont="1" applyFill="1" applyBorder="1" applyAlignment="1">
      <alignment horizontal="center" vertical="center"/>
    </xf>
    <xf numFmtId="3" fontId="30" fillId="14" borderId="10" xfId="0" applyNumberFormat="1" applyFont="1" applyFill="1" applyBorder="1" applyAlignment="1">
      <alignment horizontal="center" vertical="center"/>
    </xf>
    <xf numFmtId="3" fontId="30" fillId="14" borderId="29" xfId="0" applyNumberFormat="1" applyFont="1" applyFill="1" applyBorder="1" applyAlignment="1">
      <alignment horizontal="center" vertical="center"/>
    </xf>
    <xf numFmtId="3" fontId="30" fillId="14" borderId="15" xfId="0" applyNumberFormat="1" applyFont="1" applyFill="1" applyBorder="1" applyAlignment="1">
      <alignment horizontal="center" vertical="center"/>
    </xf>
    <xf numFmtId="3" fontId="30" fillId="14" borderId="11" xfId="0" applyNumberFormat="1" applyFont="1" applyFill="1" applyBorder="1" applyAlignment="1">
      <alignment horizontal="center" vertical="center"/>
    </xf>
    <xf numFmtId="0" fontId="9" fillId="14" borderId="0" xfId="0" applyFont="1" applyFill="1" applyAlignment="1">
      <alignment horizontal="right" vertical="center" indent="1"/>
    </xf>
    <xf numFmtId="3" fontId="30" fillId="14" borderId="53" xfId="0" applyNumberFormat="1" applyFont="1" applyFill="1" applyBorder="1" applyAlignment="1">
      <alignment horizontal="center" vertical="center"/>
    </xf>
    <xf numFmtId="3" fontId="30" fillId="14" borderId="52" xfId="0" applyNumberFormat="1" applyFont="1" applyFill="1" applyBorder="1" applyAlignment="1">
      <alignment horizontal="center" vertical="center"/>
    </xf>
    <xf numFmtId="3" fontId="30" fillId="14" borderId="75" xfId="0" applyNumberFormat="1" applyFont="1" applyFill="1" applyBorder="1" applyAlignment="1">
      <alignment horizontal="center" vertical="center"/>
    </xf>
    <xf numFmtId="3" fontId="30" fillId="14" borderId="63" xfId="0" applyNumberFormat="1" applyFont="1" applyFill="1" applyBorder="1" applyAlignment="1">
      <alignment horizontal="center" vertical="center"/>
    </xf>
    <xf numFmtId="3" fontId="30" fillId="14" borderId="62" xfId="0" applyNumberFormat="1" applyFont="1" applyFill="1" applyBorder="1" applyAlignment="1">
      <alignment horizontal="center" vertical="center"/>
    </xf>
    <xf numFmtId="166" fontId="30" fillId="14" borderId="35" xfId="0" applyNumberFormat="1" applyFont="1" applyFill="1" applyBorder="1" applyAlignment="1">
      <alignment horizontal="center" vertical="center" shrinkToFit="1"/>
    </xf>
    <xf numFmtId="166" fontId="30" fillId="14" borderId="37" xfId="0" applyNumberFormat="1" applyFont="1" applyFill="1" applyBorder="1" applyAlignment="1">
      <alignment horizontal="center" vertical="center" shrinkToFit="1"/>
    </xf>
    <xf numFmtId="166" fontId="30" fillId="14" borderId="38" xfId="0" applyNumberFormat="1" applyFont="1" applyFill="1" applyBorder="1" applyAlignment="1">
      <alignment horizontal="center" vertical="center" shrinkToFit="1"/>
    </xf>
    <xf numFmtId="166" fontId="30" fillId="14" borderId="80" xfId="0" applyNumberFormat="1" applyFont="1" applyFill="1" applyBorder="1" applyAlignment="1">
      <alignment horizontal="center" vertical="center" shrinkToFit="1"/>
    </xf>
    <xf numFmtId="166" fontId="30" fillId="14" borderId="36" xfId="0" applyNumberFormat="1" applyFont="1" applyFill="1" applyBorder="1" applyAlignment="1">
      <alignment horizontal="center" vertical="center" shrinkToFit="1"/>
    </xf>
    <xf numFmtId="0" fontId="0" fillId="0" borderId="0" xfId="0" applyBorder="1" applyProtection="1">
      <protection locked="0"/>
    </xf>
    <xf numFmtId="0" fontId="0" fillId="0" borderId="0" xfId="0" applyAlignment="1">
      <alignment shrinkToFit="1"/>
    </xf>
    <xf numFmtId="0" fontId="41" fillId="16" borderId="82" xfId="0" applyFont="1" applyFill="1" applyBorder="1" applyAlignment="1" applyProtection="1">
      <alignment horizontal="center" vertical="center" wrapText="1"/>
    </xf>
    <xf numFmtId="0" fontId="0" fillId="0" borderId="10" xfId="0" applyFont="1" applyBorder="1" applyAlignment="1" applyProtection="1">
      <alignment horizontal="center" vertical="center" wrapText="1"/>
    </xf>
    <xf numFmtId="166" fontId="0" fillId="0" borderId="10" xfId="0" applyNumberFormat="1" applyFont="1" applyFill="1" applyBorder="1" applyAlignment="1" applyProtection="1">
      <alignment horizontal="center" vertical="center" wrapText="1"/>
    </xf>
    <xf numFmtId="166" fontId="0" fillId="0" borderId="10" xfId="0" applyNumberFormat="1" applyFont="1" applyBorder="1" applyAlignment="1" applyProtection="1">
      <alignment horizontal="center" vertical="center" wrapText="1"/>
    </xf>
    <xf numFmtId="0" fontId="0" fillId="0" borderId="82" xfId="0" applyFont="1" applyBorder="1" applyAlignment="1" applyProtection="1">
      <alignment horizontal="center" vertical="center" wrapText="1"/>
    </xf>
    <xf numFmtId="166" fontId="0" fillId="0" borderId="82" xfId="0" applyNumberFormat="1" applyFont="1" applyFill="1" applyBorder="1" applyAlignment="1" applyProtection="1">
      <alignment horizontal="center" vertical="center" wrapText="1"/>
    </xf>
    <xf numFmtId="166" fontId="0" fillId="0" borderId="82" xfId="0" applyNumberFormat="1" applyFont="1" applyBorder="1" applyAlignment="1" applyProtection="1">
      <alignment horizontal="center" vertical="center" wrapText="1"/>
    </xf>
    <xf numFmtId="0" fontId="0" fillId="0" borderId="46" xfId="0" applyFont="1" applyBorder="1" applyAlignment="1" applyProtection="1">
      <alignment horizontal="center" vertical="center" wrapText="1"/>
    </xf>
    <xf numFmtId="166" fontId="0" fillId="0" borderId="46" xfId="0" applyNumberFormat="1" applyFont="1" applyFill="1" applyBorder="1" applyAlignment="1" applyProtection="1">
      <alignment horizontal="center" vertical="center" wrapText="1"/>
    </xf>
    <xf numFmtId="166" fontId="0" fillId="0" borderId="46" xfId="0" applyNumberFormat="1" applyFont="1" applyBorder="1" applyAlignment="1" applyProtection="1">
      <alignment horizontal="center" vertical="center" wrapText="1"/>
    </xf>
    <xf numFmtId="0" fontId="0" fillId="0" borderId="52" xfId="0" applyFont="1" applyBorder="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66" fontId="0" fillId="0" borderId="0" xfId="0" applyNumberFormat="1" applyFont="1" applyBorder="1" applyAlignment="1" applyProtection="1">
      <alignment horizontal="center" vertical="center" wrapText="1"/>
    </xf>
    <xf numFmtId="0" fontId="0" fillId="0" borderId="63" xfId="0" applyFont="1" applyBorder="1" applyAlignment="1" applyProtection="1">
      <alignment horizontal="center" vertical="center" wrapText="1"/>
    </xf>
    <xf numFmtId="0" fontId="0" fillId="0" borderId="78" xfId="0" applyFont="1" applyBorder="1" applyAlignment="1" applyProtection="1">
      <alignment horizontal="center" vertical="center" wrapText="1"/>
    </xf>
    <xf numFmtId="0" fontId="0" fillId="0" borderId="60" xfId="0" applyFont="1" applyBorder="1" applyAlignment="1" applyProtection="1">
      <alignment horizontal="center" vertical="center" wrapText="1"/>
    </xf>
    <xf numFmtId="0" fontId="0" fillId="0" borderId="82" xfId="0" applyFont="1" applyBorder="1" applyAlignment="1" applyProtection="1">
      <alignment horizontal="center" vertical="top" wrapText="1"/>
    </xf>
    <xf numFmtId="166" fontId="0" fillId="0" borderId="46" xfId="0" applyNumberFormat="1" applyFont="1" applyBorder="1" applyAlignment="1" applyProtection="1">
      <alignment horizontal="center" vertical="top" wrapText="1"/>
    </xf>
    <xf numFmtId="0" fontId="0" fillId="0" borderId="10" xfId="0" applyFont="1" applyBorder="1" applyAlignment="1" applyProtection="1">
      <alignment horizontal="center" vertical="top" wrapText="1"/>
    </xf>
    <xf numFmtId="166" fontId="0" fillId="0" borderId="10" xfId="0" applyNumberFormat="1" applyFont="1" applyBorder="1" applyAlignment="1" applyProtection="1">
      <alignment horizontal="center" vertical="top" wrapText="1"/>
    </xf>
    <xf numFmtId="166" fontId="0" fillId="0" borderId="52" xfId="0" applyNumberFormat="1" applyFont="1" applyFill="1" applyBorder="1" applyAlignment="1" applyProtection="1">
      <alignment horizontal="center" vertical="center" wrapText="1"/>
    </xf>
    <xf numFmtId="0" fontId="0" fillId="0" borderId="52" xfId="0" applyFont="1" applyBorder="1" applyAlignment="1" applyProtection="1">
      <alignment horizontal="center" vertical="top" wrapText="1"/>
    </xf>
    <xf numFmtId="166" fontId="0" fillId="0" borderId="52" xfId="0" applyNumberFormat="1" applyFont="1" applyBorder="1" applyAlignment="1" applyProtection="1">
      <alignment horizontal="center" vertical="top" wrapText="1"/>
    </xf>
    <xf numFmtId="0" fontId="0" fillId="0" borderId="52" xfId="0" applyFont="1" applyFill="1" applyBorder="1" applyAlignment="1" applyProtection="1">
      <alignment horizontal="center" vertical="center" wrapText="1"/>
    </xf>
    <xf numFmtId="0" fontId="55" fillId="14" borderId="0" xfId="0" applyFont="1" applyFill="1" applyBorder="1" applyAlignment="1" applyProtection="1">
      <alignment horizontal="left" vertical="center"/>
    </xf>
    <xf numFmtId="0" fontId="80" fillId="14" borderId="0" xfId="0" applyFont="1" applyFill="1" applyBorder="1" applyAlignment="1" applyProtection="1">
      <alignment horizontal="left" vertical="center"/>
    </xf>
    <xf numFmtId="0" fontId="101" fillId="14" borderId="0" xfId="25" applyNumberFormat="1" applyFont="1" applyFill="1" applyBorder="1" applyAlignment="1" applyProtection="1">
      <alignment vertical="center"/>
    </xf>
    <xf numFmtId="0" fontId="35" fillId="25" borderId="10" xfId="0" applyFont="1" applyFill="1" applyBorder="1" applyAlignment="1">
      <alignment horizontal="right" vertical="center" wrapText="1"/>
    </xf>
    <xf numFmtId="166" fontId="75" fillId="9" borderId="15" xfId="0" applyNumberFormat="1" applyFont="1" applyFill="1" applyBorder="1" applyAlignment="1">
      <alignment horizontal="center" vertical="center"/>
    </xf>
    <xf numFmtId="166" fontId="35" fillId="9" borderId="10" xfId="0" applyNumberFormat="1" applyFont="1" applyFill="1" applyBorder="1" applyAlignment="1">
      <alignment horizontal="center" vertical="center"/>
    </xf>
    <xf numFmtId="166" fontId="35" fillId="9" borderId="15" xfId="0" applyNumberFormat="1" applyFont="1" applyFill="1" applyBorder="1" applyAlignment="1">
      <alignment horizontal="center" vertical="center"/>
    </xf>
    <xf numFmtId="0" fontId="27" fillId="24" borderId="46" xfId="0" applyFont="1" applyFill="1" applyBorder="1" applyAlignment="1" applyProtection="1">
      <alignment horizontal="center" vertical="center" wrapText="1"/>
    </xf>
    <xf numFmtId="0" fontId="28" fillId="24" borderId="46" xfId="0" applyFont="1" applyFill="1" applyBorder="1" applyAlignment="1" applyProtection="1">
      <alignment horizontal="center" vertical="center" wrapText="1"/>
    </xf>
    <xf numFmtId="0" fontId="28" fillId="24" borderId="46" xfId="0" applyFont="1" applyFill="1" applyBorder="1" applyAlignment="1" applyProtection="1">
      <alignment horizontal="center" vertical="center"/>
    </xf>
    <xf numFmtId="0" fontId="33" fillId="24" borderId="46" xfId="0" applyFont="1" applyFill="1" applyBorder="1" applyAlignment="1">
      <alignment horizontal="center" wrapText="1"/>
    </xf>
    <xf numFmtId="0" fontId="60" fillId="19" borderId="10" xfId="0" applyFont="1" applyFill="1" applyBorder="1" applyAlignment="1">
      <alignment horizontal="center" vertical="center"/>
    </xf>
    <xf numFmtId="0" fontId="60" fillId="19" borderId="52" xfId="0" applyFont="1" applyFill="1" applyBorder="1" applyAlignment="1">
      <alignment horizontal="center" vertical="center"/>
    </xf>
    <xf numFmtId="9" fontId="15" fillId="24" borderId="52" xfId="30" applyFont="1" applyFill="1" applyBorder="1" applyAlignment="1" applyProtection="1">
      <alignment horizontal="center"/>
    </xf>
    <xf numFmtId="0" fontId="0" fillId="16" borderId="52" xfId="0" applyFill="1" applyBorder="1" applyAlignment="1" applyProtection="1">
      <alignment horizontal="center"/>
    </xf>
    <xf numFmtId="0" fontId="0" fillId="26" borderId="11" xfId="0" applyFill="1" applyBorder="1" applyAlignment="1" applyProtection="1">
      <alignment horizontal="center" vertical="center"/>
    </xf>
    <xf numFmtId="2" fontId="60" fillId="9" borderId="10" xfId="0" applyNumberFormat="1" applyFont="1" applyFill="1" applyBorder="1" applyAlignment="1">
      <alignment horizontal="center" vertical="center"/>
    </xf>
    <xf numFmtId="9" fontId="15" fillId="24" borderId="78" xfId="30" applyFont="1" applyFill="1" applyBorder="1" applyAlignment="1" applyProtection="1">
      <alignment horizontal="center"/>
    </xf>
    <xf numFmtId="0" fontId="0" fillId="16" borderId="78" xfId="0" applyFill="1" applyBorder="1" applyAlignment="1" applyProtection="1">
      <alignment horizontal="center"/>
    </xf>
    <xf numFmtId="0" fontId="0" fillId="26" borderId="62" xfId="0" applyFill="1" applyBorder="1" applyAlignment="1" applyProtection="1">
      <alignment horizontal="center" vertical="center"/>
    </xf>
    <xf numFmtId="0" fontId="9" fillId="13" borderId="10" xfId="0" applyFont="1" applyFill="1" applyBorder="1" applyAlignment="1">
      <alignment vertical="center"/>
    </xf>
    <xf numFmtId="0" fontId="0" fillId="10" borderId="15" xfId="11" applyNumberFormat="1" applyFont="1" applyFill="1" applyBorder="1" applyAlignment="1" applyProtection="1">
      <alignment horizontal="center" vertical="center"/>
      <protection locked="0"/>
    </xf>
    <xf numFmtId="1" fontId="30" fillId="9" borderId="10" xfId="0" applyNumberFormat="1" applyFont="1" applyFill="1" applyBorder="1" applyAlignment="1">
      <alignment horizontal="center" vertical="center"/>
    </xf>
    <xf numFmtId="0" fontId="30" fillId="0" borderId="61" xfId="0" applyFont="1" applyBorder="1" applyAlignment="1">
      <alignment horizontal="center" vertical="center"/>
    </xf>
    <xf numFmtId="2" fontId="30" fillId="9" borderId="10" xfId="0" applyNumberFormat="1" applyFont="1" applyFill="1" applyBorder="1" applyAlignment="1">
      <alignment horizontal="center" vertical="center"/>
    </xf>
    <xf numFmtId="2" fontId="30" fillId="0" borderId="61" xfId="0" applyNumberFormat="1" applyFont="1" applyBorder="1" applyAlignment="1">
      <alignment horizontal="center" vertical="center"/>
    </xf>
    <xf numFmtId="0" fontId="0" fillId="10" borderId="62" xfId="0" applyFill="1" applyBorder="1" applyAlignment="1" applyProtection="1">
      <alignment horizontal="center"/>
      <protection locked="0"/>
    </xf>
    <xf numFmtId="0" fontId="0" fillId="10" borderId="59" xfId="0" applyFill="1" applyBorder="1" applyAlignment="1" applyProtection="1">
      <alignment horizontal="center"/>
      <protection locked="0"/>
    </xf>
    <xf numFmtId="1" fontId="35" fillId="19" borderId="60" xfId="0" applyNumberFormat="1" applyFont="1" applyFill="1" applyBorder="1" applyAlignment="1">
      <alignment horizontal="center" vertical="center"/>
    </xf>
    <xf numFmtId="1" fontId="0" fillId="16" borderId="78" xfId="0" applyNumberFormat="1" applyFill="1" applyBorder="1" applyAlignment="1" applyProtection="1">
      <alignment horizontal="center"/>
    </xf>
    <xf numFmtId="1" fontId="0" fillId="27" borderId="52" xfId="0" applyNumberFormat="1" applyFill="1" applyBorder="1" applyAlignment="1" applyProtection="1">
      <alignment horizontal="center"/>
    </xf>
    <xf numFmtId="0" fontId="33" fillId="19" borderId="78" xfId="0" applyFont="1" applyFill="1" applyBorder="1" applyAlignment="1">
      <alignment horizontal="center" vertical="center"/>
    </xf>
    <xf numFmtId="1" fontId="0" fillId="27" borderId="78" xfId="0" applyNumberFormat="1" applyFill="1" applyBorder="1" applyAlignment="1" applyProtection="1">
      <alignment horizontal="center"/>
    </xf>
    <xf numFmtId="9" fontId="15" fillId="24" borderId="46" xfId="30" applyFont="1" applyFill="1" applyBorder="1" applyAlignment="1" applyProtection="1">
      <alignment horizontal="center"/>
    </xf>
    <xf numFmtId="0" fontId="0" fillId="16" borderId="46" xfId="0" applyFill="1" applyBorder="1" applyAlignment="1" applyProtection="1">
      <alignment horizontal="center"/>
    </xf>
    <xf numFmtId="0" fontId="0" fillId="10" borderId="71" xfId="0" applyFill="1" applyBorder="1" applyAlignment="1" applyProtection="1">
      <alignment horizontal="center"/>
      <protection locked="0"/>
    </xf>
    <xf numFmtId="1" fontId="35" fillId="19" borderId="65" xfId="0" applyNumberFormat="1" applyFont="1" applyFill="1" applyBorder="1" applyAlignment="1">
      <alignment horizontal="center" vertical="center"/>
    </xf>
    <xf numFmtId="1" fontId="0" fillId="16" borderId="46" xfId="0" applyNumberFormat="1" applyFill="1" applyBorder="1" applyAlignment="1" applyProtection="1">
      <alignment horizontal="center"/>
    </xf>
    <xf numFmtId="1" fontId="0" fillId="27" borderId="46" xfId="0" applyNumberFormat="1" applyFill="1" applyBorder="1" applyAlignment="1" applyProtection="1">
      <alignment horizontal="center"/>
    </xf>
    <xf numFmtId="0" fontId="33" fillId="19" borderId="46" xfId="0" applyFont="1" applyFill="1" applyBorder="1" applyAlignment="1">
      <alignment horizontal="center" vertical="center"/>
    </xf>
    <xf numFmtId="0" fontId="0" fillId="10" borderId="59" xfId="0" applyFill="1" applyBorder="1" applyAlignment="1" applyProtection="1">
      <alignment horizontal="center" vertical="center"/>
      <protection locked="0"/>
    </xf>
    <xf numFmtId="1" fontId="0" fillId="16" borderId="52" xfId="0" applyNumberFormat="1" applyFill="1" applyBorder="1" applyAlignment="1" applyProtection="1">
      <alignment horizontal="center"/>
    </xf>
    <xf numFmtId="1" fontId="0" fillId="27" borderId="60" xfId="0" applyNumberFormat="1" applyFill="1" applyBorder="1" applyAlignment="1" applyProtection="1">
      <alignment horizontal="center"/>
    </xf>
    <xf numFmtId="0" fontId="35" fillId="19" borderId="46" xfId="0" applyFont="1" applyFill="1" applyBorder="1" applyAlignment="1">
      <alignment horizontal="center" vertical="center"/>
    </xf>
    <xf numFmtId="2" fontId="28" fillId="9" borderId="65" xfId="0" applyNumberFormat="1" applyFont="1" applyFill="1" applyBorder="1" applyAlignment="1">
      <alignment horizontal="center" vertical="center"/>
    </xf>
    <xf numFmtId="0" fontId="0" fillId="19" borderId="46" xfId="0" applyFont="1" applyFill="1" applyBorder="1" applyAlignment="1">
      <alignment vertical="center"/>
    </xf>
    <xf numFmtId="0" fontId="35" fillId="19" borderId="10" xfId="0" applyFont="1" applyFill="1" applyBorder="1" applyAlignment="1">
      <alignment horizontal="center" vertical="center"/>
    </xf>
    <xf numFmtId="2" fontId="28" fillId="9" borderId="15" xfId="0" applyNumberFormat="1" applyFont="1" applyFill="1" applyBorder="1" applyAlignment="1">
      <alignment horizontal="center" vertical="center"/>
    </xf>
    <xf numFmtId="0" fontId="0" fillId="19" borderId="10" xfId="0" applyFont="1" applyFill="1" applyBorder="1" applyAlignment="1">
      <alignment vertical="center"/>
    </xf>
    <xf numFmtId="9" fontId="15" fillId="24" borderId="60" xfId="30" applyFont="1" applyFill="1" applyBorder="1" applyAlignment="1" applyProtection="1">
      <alignment horizontal="center"/>
    </xf>
    <xf numFmtId="9" fontId="15" fillId="24" borderId="65" xfId="30" applyFont="1" applyFill="1" applyBorder="1" applyAlignment="1" applyProtection="1">
      <alignment horizontal="center"/>
    </xf>
    <xf numFmtId="1" fontId="33" fillId="19" borderId="78" xfId="0" applyNumberFormat="1" applyFont="1" applyFill="1" applyBorder="1" applyAlignment="1">
      <alignment horizontal="center" vertical="center"/>
    </xf>
    <xf numFmtId="1" fontId="33" fillId="19" borderId="46" xfId="0" applyNumberFormat="1" applyFont="1" applyFill="1" applyBorder="1" applyAlignment="1">
      <alignment horizontal="center" vertical="center"/>
    </xf>
    <xf numFmtId="1" fontId="33" fillId="19" borderId="78" xfId="0" applyNumberFormat="1" applyFont="1" applyFill="1" applyBorder="1" applyAlignment="1">
      <alignment horizontal="center" vertical="center" shrinkToFit="1"/>
    </xf>
    <xf numFmtId="1" fontId="35" fillId="19" borderId="46" xfId="0" applyNumberFormat="1" applyFont="1" applyFill="1" applyBorder="1" applyAlignment="1">
      <alignment horizontal="center" vertical="center"/>
    </xf>
    <xf numFmtId="9" fontId="15" fillId="24" borderId="52" xfId="30" applyFont="1" applyFill="1" applyBorder="1" applyAlignment="1" applyProtection="1">
      <alignment horizontal="center"/>
      <protection locked="0"/>
    </xf>
    <xf numFmtId="1" fontId="33" fillId="19" borderId="46" xfId="0" applyNumberFormat="1" applyFont="1" applyFill="1" applyBorder="1" applyAlignment="1">
      <alignment horizontal="center" vertical="center" shrinkToFit="1"/>
    </xf>
    <xf numFmtId="9" fontId="15" fillId="24" borderId="78" xfId="30" applyFont="1" applyFill="1" applyBorder="1" applyAlignment="1" applyProtection="1">
      <alignment horizontal="center"/>
      <protection locked="0"/>
    </xf>
    <xf numFmtId="9" fontId="15" fillId="24" borderId="46" xfId="30" applyFont="1" applyFill="1" applyBorder="1" applyAlignment="1" applyProtection="1">
      <alignment horizontal="center"/>
      <protection locked="0"/>
    </xf>
    <xf numFmtId="3" fontId="39" fillId="24" borderId="10" xfId="0" applyNumberFormat="1" applyFont="1" applyFill="1" applyBorder="1" applyAlignment="1" applyProtection="1">
      <alignment horizontal="center" vertical="center"/>
    </xf>
    <xf numFmtId="0" fontId="0" fillId="24" borderId="10" xfId="0" applyFill="1" applyBorder="1"/>
    <xf numFmtId="0" fontId="28" fillId="19" borderId="10" xfId="0" applyFont="1" applyFill="1" applyBorder="1" applyAlignment="1">
      <alignment horizontal="center" vertical="center" shrinkToFit="1"/>
    </xf>
    <xf numFmtId="166" fontId="28" fillId="19" borderId="10" xfId="0" applyNumberFormat="1" applyFont="1" applyFill="1" applyBorder="1" applyAlignment="1">
      <alignment horizontal="center" vertical="center"/>
    </xf>
    <xf numFmtId="1" fontId="0" fillId="19" borderId="10" xfId="0" applyNumberFormat="1" applyFill="1" applyBorder="1"/>
    <xf numFmtId="0" fontId="106" fillId="14" borderId="0" xfId="0" applyFont="1" applyFill="1" applyBorder="1" applyAlignment="1">
      <alignment horizontal="left" vertical="center" wrapText="1" indent="3"/>
    </xf>
    <xf numFmtId="0" fontId="106" fillId="14" borderId="0" xfId="0" applyFont="1" applyFill="1" applyBorder="1" applyAlignment="1">
      <alignment vertical="center"/>
    </xf>
    <xf numFmtId="0" fontId="106" fillId="14" borderId="0" xfId="0" applyFont="1" applyFill="1" applyBorder="1" applyAlignment="1">
      <alignment horizontal="left" vertical="top" indent="3"/>
    </xf>
    <xf numFmtId="0" fontId="55" fillId="16" borderId="0" xfId="0" applyFont="1" applyFill="1" applyAlignment="1">
      <alignment horizontal="left" vertical="center" indent="1"/>
    </xf>
    <xf numFmtId="0" fontId="23" fillId="16" borderId="0" xfId="0" applyFont="1" applyFill="1" applyAlignment="1">
      <alignment vertical="center"/>
    </xf>
    <xf numFmtId="0" fontId="60" fillId="0" borderId="11" xfId="0" applyFont="1" applyBorder="1" applyAlignment="1">
      <alignment horizontal="left" vertical="center" indent="1"/>
    </xf>
    <xf numFmtId="0" fontId="92" fillId="0" borderId="10" xfId="0" applyFont="1" applyBorder="1" applyAlignment="1">
      <alignment horizontal="center" vertical="center" wrapText="1"/>
    </xf>
    <xf numFmtId="0" fontId="107" fillId="0" borderId="10" xfId="0" applyFont="1" applyFill="1" applyBorder="1" applyAlignment="1">
      <alignment horizontal="center" vertical="center"/>
    </xf>
    <xf numFmtId="0" fontId="30" fillId="0" borderId="10" xfId="0" applyFont="1" applyBorder="1" applyAlignment="1">
      <alignment horizontal="left" vertical="center" wrapText="1" indent="1"/>
    </xf>
    <xf numFmtId="166" fontId="29" fillId="0" borderId="52" xfId="0" applyNumberFormat="1" applyFont="1" applyBorder="1" applyAlignment="1">
      <alignment horizontal="center" vertical="center" shrinkToFit="1"/>
    </xf>
    <xf numFmtId="4" fontId="29" fillId="19" borderId="61" xfId="0" applyNumberFormat="1" applyFont="1" applyFill="1" applyBorder="1" applyAlignment="1">
      <alignment horizontal="center" vertical="center" shrinkToFit="1"/>
    </xf>
    <xf numFmtId="170" fontId="29" fillId="0" borderId="10" xfId="11" applyNumberFormat="1" applyFont="1" applyFill="1" applyBorder="1" applyAlignment="1" applyProtection="1">
      <alignment horizontal="center" vertical="center"/>
    </xf>
    <xf numFmtId="0" fontId="92" fillId="0" borderId="10" xfId="0" applyFont="1" applyBorder="1" applyAlignment="1">
      <alignment horizontal="left" vertical="center" wrapText="1" indent="1"/>
    </xf>
    <xf numFmtId="0" fontId="29" fillId="0" borderId="10" xfId="0" applyFont="1" applyBorder="1" applyAlignment="1">
      <alignment horizontal="left" vertical="center" wrapText="1" indent="1"/>
    </xf>
    <xf numFmtId="0" fontId="29" fillId="19" borderId="16" xfId="0" applyFont="1" applyFill="1" applyBorder="1" applyAlignment="1">
      <alignment horizontal="center" vertical="center" shrinkToFit="1"/>
    </xf>
    <xf numFmtId="0" fontId="29" fillId="19" borderId="15" xfId="0" applyFont="1" applyFill="1" applyBorder="1" applyAlignment="1">
      <alignment horizontal="center" vertical="center" shrinkToFit="1"/>
    </xf>
    <xf numFmtId="0" fontId="29" fillId="0" borderId="46" xfId="0" applyFont="1" applyBorder="1" applyAlignment="1">
      <alignment horizontal="center" vertical="center" shrinkToFit="1"/>
    </xf>
    <xf numFmtId="0" fontId="29" fillId="0" borderId="10" xfId="0" applyFont="1" applyBorder="1" applyAlignment="1">
      <alignment horizontal="center" vertical="center" shrinkToFit="1"/>
    </xf>
    <xf numFmtId="0" fontId="65" fillId="0" borderId="16" xfId="0" applyFont="1" applyBorder="1" applyAlignment="1">
      <alignment horizontal="center" vertical="center"/>
    </xf>
    <xf numFmtId="0" fontId="65" fillId="0" borderId="15" xfId="0" applyFont="1" applyBorder="1" applyAlignment="1">
      <alignment horizontal="center" vertical="center"/>
    </xf>
    <xf numFmtId="170" fontId="65" fillId="0" borderId="10" xfId="11" applyNumberFormat="1" applyFont="1" applyFill="1" applyBorder="1" applyAlignment="1" applyProtection="1">
      <alignment horizontal="center" vertical="center" shrinkToFit="1"/>
    </xf>
    <xf numFmtId="0" fontId="29" fillId="16" borderId="0" xfId="0" applyFont="1" applyFill="1" applyAlignment="1">
      <alignment vertical="center" wrapText="1"/>
    </xf>
    <xf numFmtId="0" fontId="29" fillId="16" borderId="0" xfId="0" applyFont="1" applyFill="1" applyAlignment="1">
      <alignment horizontal="center" vertical="center"/>
    </xf>
    <xf numFmtId="0" fontId="29" fillId="16" borderId="0" xfId="0" applyFont="1" applyFill="1"/>
    <xf numFmtId="0" fontId="9" fillId="16" borderId="0" xfId="0" applyFont="1" applyFill="1" applyBorder="1" applyAlignment="1">
      <alignment horizontal="left" vertical="center" indent="1"/>
    </xf>
    <xf numFmtId="0" fontId="107" fillId="0" borderId="10" xfId="0" applyFont="1" applyFill="1" applyBorder="1" applyAlignment="1">
      <alignment horizontal="center" vertical="center" shrinkToFit="1"/>
    </xf>
    <xf numFmtId="166" fontId="29" fillId="0" borderId="10" xfId="0" applyNumberFormat="1" applyFont="1" applyBorder="1" applyAlignment="1">
      <alignment horizontal="center" vertical="center" shrinkToFit="1"/>
    </xf>
    <xf numFmtId="170" fontId="29" fillId="0" borderId="10" xfId="11" applyNumberFormat="1" applyFont="1" applyFill="1" applyBorder="1" applyAlignment="1" applyProtection="1">
      <alignment horizontal="center" vertical="center" shrinkToFit="1"/>
    </xf>
    <xf numFmtId="0" fontId="29" fillId="19" borderId="10" xfId="0" applyFont="1" applyFill="1" applyBorder="1" applyAlignment="1">
      <alignment horizontal="center" vertical="center"/>
    </xf>
    <xf numFmtId="2" fontId="29" fillId="19" borderId="10" xfId="0" applyNumberFormat="1" applyFont="1" applyFill="1" applyBorder="1" applyAlignment="1">
      <alignment horizontal="center" vertical="center"/>
    </xf>
    <xf numFmtId="0" fontId="29" fillId="19" borderId="11" xfId="0" applyFont="1" applyFill="1" applyBorder="1" applyAlignment="1">
      <alignment horizontal="center" vertical="center"/>
    </xf>
    <xf numFmtId="0" fontId="29" fillId="0" borderId="10" xfId="0" applyFont="1" applyBorder="1" applyAlignment="1">
      <alignment shrinkToFit="1"/>
    </xf>
    <xf numFmtId="0" fontId="65" fillId="0" borderId="10" xfId="0" applyFont="1" applyBorder="1" applyAlignment="1">
      <alignment horizontal="left" vertical="center" wrapText="1" indent="1"/>
    </xf>
    <xf numFmtId="167" fontId="65" fillId="0" borderId="10" xfId="0" applyNumberFormat="1" applyFont="1" applyBorder="1" applyAlignment="1">
      <alignment horizontal="center" vertical="center" shrinkToFit="1"/>
    </xf>
    <xf numFmtId="0" fontId="30" fillId="0" borderId="11" xfId="0" applyFont="1" applyBorder="1" applyAlignment="1">
      <alignment horizontal="left" vertical="center" indent="1"/>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16" borderId="0" xfId="0" applyFont="1" applyFill="1" applyAlignment="1">
      <alignment horizontal="left" vertical="center" wrapText="1" indent="1"/>
    </xf>
    <xf numFmtId="0" fontId="29" fillId="16" borderId="0" xfId="0" applyFont="1" applyFill="1" applyAlignment="1">
      <alignment shrinkToFit="1"/>
    </xf>
    <xf numFmtId="0" fontId="9" fillId="16" borderId="0" xfId="0" applyFont="1" applyFill="1" applyBorder="1" applyAlignment="1">
      <alignment vertical="center"/>
    </xf>
    <xf numFmtId="0" fontId="30" fillId="0" borderId="10" xfId="0" applyFont="1" applyBorder="1" applyAlignment="1">
      <alignment horizontal="left" vertical="center" indent="1"/>
    </xf>
    <xf numFmtId="0" fontId="29" fillId="0" borderId="0" xfId="0" applyFont="1" applyAlignment="1">
      <alignment horizontal="center" vertical="center"/>
    </xf>
    <xf numFmtId="0" fontId="65" fillId="0" borderId="16" xfId="0" applyFont="1" applyBorder="1" applyAlignment="1">
      <alignment horizontal="left" vertical="center"/>
    </xf>
    <xf numFmtId="0" fontId="68" fillId="14" borderId="0" xfId="0" applyFont="1" applyFill="1" applyBorder="1" applyAlignment="1">
      <alignment horizontal="left"/>
    </xf>
    <xf numFmtId="0" fontId="29" fillId="14" borderId="0" xfId="0" applyFont="1" applyFill="1"/>
    <xf numFmtId="0" fontId="35" fillId="14" borderId="0" xfId="0" applyFont="1" applyFill="1" applyBorder="1" applyAlignment="1">
      <alignment horizontal="center" vertical="center" wrapText="1"/>
    </xf>
    <xf numFmtId="0" fontId="28" fillId="14" borderId="33" xfId="0" applyFont="1" applyFill="1" applyBorder="1" applyAlignment="1">
      <alignment horizontal="left"/>
    </xf>
    <xf numFmtId="0" fontId="37" fillId="14" borderId="33" xfId="0" applyFont="1" applyFill="1" applyBorder="1" applyAlignment="1">
      <alignment horizontal="left"/>
    </xf>
    <xf numFmtId="0" fontId="41" fillId="14" borderId="0" xfId="0" applyFont="1" applyFill="1" applyBorder="1" applyAlignment="1">
      <alignment horizontal="center" vertical="center"/>
    </xf>
    <xf numFmtId="0" fontId="27" fillId="14" borderId="0" xfId="0" applyFont="1" applyFill="1" applyBorder="1" applyAlignment="1">
      <alignment horizontal="left" vertical="top"/>
    </xf>
    <xf numFmtId="0" fontId="29" fillId="14" borderId="0" xfId="0" applyFont="1" applyFill="1" applyBorder="1"/>
    <xf numFmtId="0" fontId="108" fillId="14" borderId="0" xfId="0" applyFont="1" applyFill="1" applyBorder="1" applyAlignment="1">
      <alignment horizontal="left"/>
    </xf>
    <xf numFmtId="0" fontId="0" fillId="14" borderId="0" xfId="0" applyFont="1" applyFill="1"/>
    <xf numFmtId="0" fontId="27" fillId="16" borderId="62" xfId="0" applyFont="1" applyFill="1" applyBorder="1" applyAlignment="1">
      <alignment horizontal="center" vertical="center" wrapText="1"/>
    </xf>
    <xf numFmtId="0" fontId="0" fillId="24" borderId="62" xfId="0" applyFont="1" applyFill="1" applyBorder="1" applyAlignment="1">
      <alignment horizontal="center" vertical="center" wrapText="1"/>
    </xf>
    <xf numFmtId="0" fontId="28" fillId="24" borderId="63" xfId="0" applyFont="1" applyFill="1" applyBorder="1" applyAlignment="1">
      <alignment horizontal="center" vertical="center" wrapText="1"/>
    </xf>
    <xf numFmtId="0" fontId="41" fillId="28" borderId="52" xfId="0" applyFont="1" applyFill="1" applyBorder="1" applyAlignment="1">
      <alignment horizontal="center" vertical="center" wrapText="1"/>
    </xf>
    <xf numFmtId="0" fontId="33" fillId="29" borderId="10" xfId="0" applyFont="1" applyFill="1" applyBorder="1" applyAlignment="1">
      <alignment horizontal="center" vertical="center" wrapText="1"/>
    </xf>
    <xf numFmtId="0" fontId="26" fillId="14" borderId="10" xfId="0" applyFont="1" applyFill="1" applyBorder="1" applyAlignment="1">
      <alignment horizontal="center" vertical="center" wrapText="1"/>
    </xf>
    <xf numFmtId="0" fontId="30" fillId="14"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30" borderId="28" xfId="0" applyFont="1" applyFill="1" applyBorder="1" applyAlignment="1">
      <alignment horizontal="center" vertical="center" wrapText="1"/>
    </xf>
    <xf numFmtId="0" fontId="30" fillId="31" borderId="10"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7" borderId="44" xfId="0" applyFont="1" applyFill="1" applyBorder="1" applyAlignment="1">
      <alignment horizontal="center" vertical="center" wrapText="1"/>
    </xf>
    <xf numFmtId="0" fontId="30" fillId="0" borderId="52" xfId="0" applyFont="1" applyBorder="1" applyAlignment="1">
      <alignment horizontal="center" vertical="center" wrapText="1"/>
    </xf>
    <xf numFmtId="0" fontId="30" fillId="0" borderId="62" xfId="0" applyFont="1" applyBorder="1" applyAlignment="1">
      <alignment horizontal="center" vertical="center" wrapText="1"/>
    </xf>
    <xf numFmtId="0" fontId="30" fillId="14" borderId="52" xfId="0" applyFont="1" applyFill="1" applyBorder="1" applyAlignment="1">
      <alignment horizontal="center" vertical="center" wrapText="1"/>
    </xf>
    <xf numFmtId="0" fontId="0" fillId="16" borderId="11" xfId="0" applyFill="1" applyBorder="1" applyAlignment="1">
      <alignment horizontal="center"/>
    </xf>
    <xf numFmtId="0" fontId="29" fillId="24" borderId="10" xfId="0" applyFont="1" applyFill="1" applyBorder="1" applyAlignment="1">
      <alignment horizontal="center" vertical="center"/>
    </xf>
    <xf numFmtId="0" fontId="92" fillId="24" borderId="10" xfId="0" applyFont="1" applyFill="1" applyBorder="1" applyAlignment="1">
      <alignment horizontal="center" vertical="center" wrapText="1"/>
    </xf>
    <xf numFmtId="0" fontId="73" fillId="24" borderId="10" xfId="0" applyFont="1" applyFill="1" applyBorder="1" applyAlignment="1">
      <alignment horizontal="center" vertical="center"/>
    </xf>
    <xf numFmtId="0" fontId="25" fillId="23" borderId="10" xfId="0" applyFont="1" applyFill="1" applyBorder="1" applyAlignment="1">
      <alignment horizontal="center" vertical="center"/>
    </xf>
    <xf numFmtId="0" fontId="0" fillId="28" borderId="10" xfId="0" applyFont="1" applyFill="1" applyBorder="1" applyAlignment="1">
      <alignment horizontal="center" vertical="center" wrapText="1"/>
    </xf>
    <xf numFmtId="0" fontId="33" fillId="28" borderId="65" xfId="0" applyFont="1" applyFill="1" applyBorder="1" applyAlignment="1">
      <alignment horizontal="center" vertical="center"/>
    </xf>
    <xf numFmtId="0" fontId="26" fillId="28" borderId="46" xfId="0" applyFont="1" applyFill="1" applyBorder="1" applyAlignment="1">
      <alignment horizontal="center" vertical="center" wrapText="1"/>
    </xf>
    <xf numFmtId="0" fontId="30" fillId="14" borderId="10" xfId="0" applyFont="1" applyFill="1" applyBorder="1" applyAlignment="1">
      <alignment horizontal="center" vertical="center"/>
    </xf>
    <xf numFmtId="0" fontId="0" fillId="0" borderId="10" xfId="0" applyFont="1" applyFill="1" applyBorder="1" applyAlignment="1"/>
    <xf numFmtId="0" fontId="30" fillId="0" borderId="10" xfId="0" applyFont="1" applyFill="1" applyBorder="1" applyAlignment="1">
      <alignment horizontal="center"/>
    </xf>
    <xf numFmtId="0" fontId="30" fillId="0" borderId="10" xfId="0" applyFont="1" applyFill="1" applyBorder="1" applyAlignment="1">
      <alignment horizontal="center" vertical="center"/>
    </xf>
    <xf numFmtId="0" fontId="30" fillId="0" borderId="65" xfId="0" applyFont="1" applyFill="1" applyBorder="1" applyAlignment="1">
      <alignment horizontal="center" vertical="center"/>
    </xf>
    <xf numFmtId="0" fontId="109" fillId="14" borderId="0" xfId="0" applyFont="1" applyFill="1"/>
    <xf numFmtId="0" fontId="39" fillId="16" borderId="71" xfId="0" applyFont="1" applyFill="1" applyBorder="1" applyAlignment="1" applyProtection="1">
      <alignment vertical="top"/>
    </xf>
    <xf numFmtId="0" fontId="27" fillId="16" borderId="46" xfId="0" applyFont="1" applyFill="1" applyBorder="1" applyAlignment="1" applyProtection="1">
      <alignment horizontal="center" vertical="center" wrapText="1"/>
    </xf>
    <xf numFmtId="1" fontId="38" fillId="10" borderId="46" xfId="0" applyNumberFormat="1" applyFont="1" applyFill="1" applyBorder="1" applyAlignment="1" applyProtection="1">
      <alignment horizontal="center" vertical="center" shrinkToFit="1"/>
      <protection locked="0"/>
    </xf>
    <xf numFmtId="1" fontId="38" fillId="29" borderId="46" xfId="0" applyNumberFormat="1" applyFont="1" applyFill="1" applyBorder="1" applyAlignment="1" applyProtection="1">
      <alignment horizontal="center" vertical="center" shrinkToFit="1"/>
    </xf>
    <xf numFmtId="0" fontId="15" fillId="29" borderId="10" xfId="0" applyFont="1" applyFill="1" applyBorder="1" applyAlignment="1">
      <alignment horizontal="center" vertical="center" shrinkToFit="1"/>
    </xf>
    <xf numFmtId="1" fontId="30" fillId="9" borderId="10" xfId="0" applyNumberFormat="1" applyFont="1" applyFill="1" applyBorder="1" applyAlignment="1" applyProtection="1">
      <alignment horizontal="center"/>
    </xf>
    <xf numFmtId="0" fontId="39" fillId="16" borderId="11" xfId="0" applyFont="1" applyFill="1" applyBorder="1" applyAlignment="1" applyProtection="1">
      <alignment vertical="top"/>
    </xf>
    <xf numFmtId="0" fontId="27" fillId="16" borderId="10" xfId="0" applyFont="1" applyFill="1" applyBorder="1" applyAlignment="1" applyProtection="1">
      <alignment horizontal="center" vertical="center" wrapText="1"/>
    </xf>
    <xf numFmtId="3" fontId="38" fillId="16" borderId="10" xfId="0" applyNumberFormat="1" applyFont="1" applyFill="1" applyBorder="1" applyAlignment="1">
      <alignment horizontal="center" vertical="center" shrinkToFit="1"/>
    </xf>
    <xf numFmtId="0" fontId="110" fillId="14" borderId="0" xfId="0" applyFont="1" applyFill="1"/>
    <xf numFmtId="1" fontId="38" fillId="29" borderId="78" xfId="0" applyNumberFormat="1" applyFont="1" applyFill="1" applyBorder="1" applyAlignment="1" applyProtection="1">
      <alignment horizontal="center" vertical="center" shrinkToFit="1"/>
    </xf>
    <xf numFmtId="0" fontId="15" fillId="24" borderId="10" xfId="0" applyFont="1" applyFill="1" applyBorder="1" applyAlignment="1">
      <alignment horizontal="center" vertical="center"/>
    </xf>
    <xf numFmtId="1" fontId="33" fillId="19" borderId="46" xfId="0" applyNumberFormat="1" applyFont="1" applyFill="1" applyBorder="1" applyAlignment="1" applyProtection="1">
      <alignment horizontal="center" vertical="center" wrapText="1"/>
      <protection locked="0"/>
    </xf>
    <xf numFmtId="1" fontId="15" fillId="29" borderId="10" xfId="0" applyNumberFormat="1" applyFont="1" applyFill="1" applyBorder="1" applyAlignment="1" applyProtection="1">
      <alignment horizontal="center" shrinkToFit="1"/>
    </xf>
    <xf numFmtId="1" fontId="9" fillId="19" borderId="10" xfId="0" applyNumberFormat="1" applyFont="1" applyFill="1" applyBorder="1" applyAlignment="1" applyProtection="1">
      <alignment horizontal="center" vertical="center" shrinkToFit="1"/>
    </xf>
    <xf numFmtId="1" fontId="30" fillId="19" borderId="10" xfId="0" applyNumberFormat="1" applyFont="1" applyFill="1" applyBorder="1" applyAlignment="1" applyProtection="1">
      <alignment horizontal="center"/>
    </xf>
    <xf numFmtId="1" fontId="38" fillId="10" borderId="46" xfId="0" applyNumberFormat="1" applyFont="1" applyFill="1" applyBorder="1" applyAlignment="1" applyProtection="1">
      <alignment horizontal="center" vertical="center" wrapText="1"/>
      <protection locked="0"/>
    </xf>
    <xf numFmtId="1" fontId="38" fillId="29" borderId="46" xfId="0" applyNumberFormat="1" applyFont="1" applyFill="1" applyBorder="1" applyAlignment="1" applyProtection="1">
      <alignment horizontal="center" vertical="center" wrapText="1"/>
    </xf>
    <xf numFmtId="0" fontId="30" fillId="14" borderId="0" xfId="0" applyFont="1" applyFill="1" applyBorder="1"/>
    <xf numFmtId="0" fontId="24" fillId="14" borderId="59" xfId="0" applyFont="1" applyFill="1" applyBorder="1" applyAlignment="1">
      <alignment vertical="center" wrapText="1"/>
    </xf>
    <xf numFmtId="0" fontId="24" fillId="14" borderId="0" xfId="0" applyFont="1" applyFill="1" applyBorder="1" applyAlignment="1">
      <alignment vertical="center" wrapText="1"/>
    </xf>
    <xf numFmtId="0" fontId="24" fillId="14" borderId="60" xfId="0" applyFont="1" applyFill="1" applyBorder="1" applyAlignment="1">
      <alignment vertical="center" wrapText="1"/>
    </xf>
    <xf numFmtId="1" fontId="30" fillId="9" borderId="52" xfId="0" applyNumberFormat="1" applyFont="1" applyFill="1" applyBorder="1" applyAlignment="1" applyProtection="1">
      <alignment horizontal="center"/>
    </xf>
    <xf numFmtId="0" fontId="33" fillId="24" borderId="16" xfId="0" applyFont="1" applyFill="1" applyBorder="1" applyAlignment="1">
      <alignment vertical="top"/>
    </xf>
    <xf numFmtId="0" fontId="33" fillId="24" borderId="15" xfId="0" applyFont="1" applyFill="1" applyBorder="1" applyAlignment="1">
      <alignment vertical="top"/>
    </xf>
    <xf numFmtId="1" fontId="38" fillId="29" borderId="10" xfId="0" applyNumberFormat="1" applyFont="1" applyFill="1" applyBorder="1" applyAlignment="1" applyProtection="1">
      <alignment horizontal="center" vertical="center" shrinkToFit="1"/>
    </xf>
    <xf numFmtId="0" fontId="30" fillId="14" borderId="0" xfId="0" applyFont="1" applyFill="1" applyBorder="1" applyAlignment="1">
      <alignment horizontal="right"/>
    </xf>
    <xf numFmtId="166" fontId="30" fillId="14" borderId="56" xfId="0" applyNumberFormat="1" applyFont="1" applyFill="1" applyBorder="1" applyAlignment="1">
      <alignment horizontal="center" vertical="center"/>
    </xf>
    <xf numFmtId="0" fontId="0" fillId="0" borderId="10" xfId="0" applyFont="1" applyBorder="1" applyAlignment="1">
      <alignment vertical="center"/>
    </xf>
    <xf numFmtId="0" fontId="41" fillId="24" borderId="16" xfId="0" applyFont="1" applyFill="1" applyBorder="1" applyAlignment="1">
      <alignment vertical="center"/>
    </xf>
    <xf numFmtId="0" fontId="41" fillId="24" borderId="15" xfId="0" applyFont="1" applyFill="1" applyBorder="1" applyAlignment="1">
      <alignment vertical="center"/>
    </xf>
    <xf numFmtId="0" fontId="41" fillId="23" borderId="11" xfId="0" applyFont="1" applyFill="1" applyBorder="1" applyAlignment="1">
      <alignment vertical="center"/>
    </xf>
    <xf numFmtId="0" fontId="28" fillId="23" borderId="15" xfId="0" applyFont="1" applyFill="1" applyBorder="1" applyAlignment="1">
      <alignment horizontal="right" vertical="center" indent="1"/>
    </xf>
    <xf numFmtId="3" fontId="15" fillId="16" borderId="10" xfId="0" applyNumberFormat="1" applyFont="1" applyFill="1" applyBorder="1" applyAlignment="1" applyProtection="1">
      <alignment horizontal="center" vertical="center"/>
    </xf>
    <xf numFmtId="3" fontId="33" fillId="29" borderId="59" xfId="0" applyNumberFormat="1" applyFont="1" applyFill="1" applyBorder="1" applyAlignment="1">
      <alignment horizontal="center"/>
    </xf>
    <xf numFmtId="3" fontId="15" fillId="7" borderId="10" xfId="0" applyNumberFormat="1" applyFont="1" applyFill="1" applyBorder="1" applyAlignment="1">
      <alignment horizontal="center" vertical="center" shrinkToFit="1"/>
    </xf>
    <xf numFmtId="0" fontId="30" fillId="13" borderId="10" xfId="0" applyFont="1" applyFill="1" applyBorder="1" applyAlignment="1" applyProtection="1">
      <alignment horizontal="center" vertical="center"/>
      <protection locked="0"/>
    </xf>
    <xf numFmtId="0" fontId="41" fillId="24" borderId="64" xfId="0" applyFont="1" applyFill="1" applyBorder="1" applyAlignment="1">
      <alignment vertical="center"/>
    </xf>
    <xf numFmtId="0" fontId="41" fillId="29" borderId="11" xfId="0" applyFont="1" applyFill="1" applyBorder="1" applyAlignment="1">
      <alignment vertical="center"/>
    </xf>
    <xf numFmtId="0" fontId="92" fillId="14" borderId="10" xfId="0" applyFont="1" applyFill="1" applyBorder="1" applyAlignment="1">
      <alignment horizontal="center" vertical="center" wrapText="1"/>
    </xf>
    <xf numFmtId="0" fontId="30" fillId="14" borderId="71" xfId="0" applyFont="1" applyFill="1" applyBorder="1" applyAlignment="1">
      <alignment horizontal="center" vertical="center"/>
    </xf>
    <xf numFmtId="0" fontId="92" fillId="24" borderId="71" xfId="0" applyFont="1" applyFill="1" applyBorder="1" applyAlignment="1">
      <alignment horizontal="right" vertical="center"/>
    </xf>
    <xf numFmtId="167" fontId="92" fillId="24" borderId="16" xfId="0" applyNumberFormat="1" applyFont="1" applyFill="1" applyBorder="1" applyAlignment="1">
      <alignment horizontal="center" vertical="center"/>
    </xf>
    <xf numFmtId="0" fontId="72" fillId="14" borderId="0" xfId="0" applyFont="1" applyFill="1"/>
    <xf numFmtId="0" fontId="30" fillId="14" borderId="11" xfId="0" applyFont="1" applyFill="1" applyBorder="1" applyAlignment="1">
      <alignment horizontal="center" vertical="center"/>
    </xf>
    <xf numFmtId="0" fontId="30" fillId="0" borderId="10" xfId="0" applyFont="1" applyBorder="1" applyAlignment="1">
      <alignment horizontal="center" vertical="center"/>
    </xf>
    <xf numFmtId="0" fontId="37" fillId="29" borderId="35" xfId="0" applyFont="1" applyFill="1" applyBorder="1" applyAlignment="1">
      <alignment horizontal="center" vertical="center" wrapText="1"/>
    </xf>
    <xf numFmtId="0" fontId="37" fillId="29" borderId="36" xfId="0" applyFont="1" applyFill="1" applyBorder="1" applyAlignment="1">
      <alignment horizontal="center" vertical="center" wrapText="1"/>
    </xf>
    <xf numFmtId="0" fontId="37" fillId="29" borderId="80" xfId="0" applyFont="1" applyFill="1" applyBorder="1" applyAlignment="1">
      <alignment horizontal="center" vertical="center" wrapText="1"/>
    </xf>
    <xf numFmtId="0" fontId="37" fillId="29" borderId="38" xfId="0" applyFont="1" applyFill="1" applyBorder="1" applyAlignment="1">
      <alignment horizontal="center" vertical="center" wrapText="1"/>
    </xf>
    <xf numFmtId="0" fontId="0" fillId="29" borderId="35" xfId="0" applyFont="1" applyFill="1" applyBorder="1" applyAlignment="1">
      <alignment horizontal="center" vertical="center"/>
    </xf>
    <xf numFmtId="0" fontId="0" fillId="29" borderId="25" xfId="0" applyFont="1" applyFill="1" applyBorder="1" applyAlignment="1">
      <alignment horizontal="center" vertical="center"/>
    </xf>
    <xf numFmtId="0" fontId="0" fillId="29" borderId="24" xfId="0" applyFont="1" applyFill="1" applyBorder="1" applyAlignment="1">
      <alignment horizontal="center" vertical="center"/>
    </xf>
    <xf numFmtId="0" fontId="0" fillId="29" borderId="26" xfId="0" applyFont="1" applyFill="1" applyBorder="1" applyAlignment="1">
      <alignment horizontal="center" vertical="center"/>
    </xf>
    <xf numFmtId="0" fontId="46" fillId="19" borderId="84" xfId="0" applyFont="1" applyFill="1" applyBorder="1" applyAlignment="1">
      <alignment horizontal="center" vertical="center" wrapText="1" shrinkToFit="1"/>
    </xf>
    <xf numFmtId="0" fontId="46" fillId="19" borderId="66" xfId="0" applyFont="1" applyFill="1" applyBorder="1" applyAlignment="1">
      <alignment horizontal="center" vertical="center" wrapText="1" shrinkToFit="1"/>
    </xf>
    <xf numFmtId="0" fontId="46" fillId="29" borderId="60" xfId="0" applyFont="1" applyFill="1" applyBorder="1" applyAlignment="1"/>
    <xf numFmtId="0" fontId="46" fillId="29" borderId="86" xfId="0" applyFont="1" applyFill="1" applyBorder="1" applyAlignment="1"/>
    <xf numFmtId="0" fontId="30" fillId="14" borderId="0" xfId="0" applyFont="1" applyFill="1" applyBorder="1" applyAlignment="1">
      <alignment horizontal="center" vertical="center"/>
    </xf>
    <xf numFmtId="0" fontId="28" fillId="14" borderId="59" xfId="0" applyFont="1" applyFill="1" applyBorder="1" applyAlignment="1"/>
    <xf numFmtId="0" fontId="30" fillId="14" borderId="0" xfId="0" applyFont="1" applyFill="1" applyAlignment="1">
      <alignment vertical="center"/>
    </xf>
    <xf numFmtId="0" fontId="0" fillId="0" borderId="0" xfId="0" applyAlignment="1">
      <alignment vertical="center"/>
    </xf>
    <xf numFmtId="0" fontId="30" fillId="3" borderId="0" xfId="0" applyFont="1" applyFill="1"/>
    <xf numFmtId="0" fontId="0" fillId="19" borderId="0" xfId="0" applyFont="1" applyFill="1" applyBorder="1" applyAlignment="1">
      <alignment vertical="center"/>
    </xf>
    <xf numFmtId="0" fontId="0" fillId="19" borderId="0" xfId="0" applyFont="1" applyFill="1" applyBorder="1" applyAlignment="1">
      <alignment horizontal="center" vertical="center"/>
    </xf>
    <xf numFmtId="0" fontId="28" fillId="19" borderId="0" xfId="0" applyFont="1" applyFill="1" applyBorder="1" applyAlignment="1">
      <alignment horizontal="center" vertical="center"/>
    </xf>
    <xf numFmtId="0" fontId="114" fillId="19" borderId="0" xfId="0" applyFont="1" applyFill="1" applyBorder="1" applyAlignment="1">
      <alignment horizontal="center" vertical="center"/>
    </xf>
    <xf numFmtId="1" fontId="28" fillId="19" borderId="0" xfId="0" applyNumberFormat="1" applyFont="1" applyFill="1" applyBorder="1" applyAlignment="1">
      <alignment horizontal="center" vertical="center"/>
    </xf>
    <xf numFmtId="0" fontId="43" fillId="19" borderId="0" xfId="0" applyFont="1" applyFill="1" applyBorder="1" applyAlignment="1">
      <alignment horizontal="center" vertical="center"/>
    </xf>
    <xf numFmtId="0" fontId="58" fillId="16" borderId="0" xfId="0" applyFont="1" applyFill="1" applyBorder="1" applyAlignment="1">
      <alignment vertical="center" wrapText="1"/>
    </xf>
    <xf numFmtId="0" fontId="45" fillId="16" borderId="0" xfId="0" applyFont="1" applyFill="1" applyBorder="1" applyAlignment="1">
      <alignment vertical="center"/>
    </xf>
    <xf numFmtId="0" fontId="117" fillId="16" borderId="72" xfId="34" applyFont="1" applyFill="1" applyBorder="1" applyAlignment="1">
      <alignment horizontal="center" vertical="center"/>
    </xf>
    <xf numFmtId="0" fontId="92" fillId="16" borderId="0" xfId="0" applyFont="1" applyFill="1"/>
    <xf numFmtId="0" fontId="37" fillId="16" borderId="0" xfId="0" applyFont="1" applyFill="1" applyBorder="1" applyAlignment="1" applyProtection="1">
      <alignment horizontal="left" vertical="center"/>
    </xf>
    <xf numFmtId="171" fontId="38" fillId="16" borderId="10" xfId="34" applyNumberFormat="1" applyFont="1" applyFill="1" applyBorder="1" applyAlignment="1" applyProtection="1">
      <alignment horizontal="center" vertical="center"/>
      <protection locked="0"/>
    </xf>
    <xf numFmtId="0" fontId="28" fillId="16" borderId="0" xfId="0" applyFont="1" applyFill="1" applyBorder="1" applyAlignment="1" applyProtection="1">
      <alignment horizontal="right" vertical="center" indent="1"/>
    </xf>
    <xf numFmtId="0" fontId="27" fillId="16" borderId="0" xfId="0" applyFont="1" applyFill="1" applyBorder="1" applyAlignment="1" applyProtection="1">
      <alignment horizontal="left" vertical="center"/>
    </xf>
    <xf numFmtId="0" fontId="39" fillId="16" borderId="0" xfId="0" applyFont="1" applyFill="1" applyBorder="1" applyAlignment="1" applyProtection="1">
      <alignment horizontal="left" vertical="center"/>
      <protection locked="0"/>
    </xf>
    <xf numFmtId="0" fontId="28" fillId="16" borderId="0" xfId="0" applyFont="1" applyFill="1" applyBorder="1" applyAlignment="1" applyProtection="1">
      <alignment horizontal="left" vertical="center"/>
    </xf>
    <xf numFmtId="0" fontId="0" fillId="16" borderId="0" xfId="0" applyFont="1" applyFill="1" applyBorder="1"/>
    <xf numFmtId="0" fontId="38" fillId="0" borderId="71" xfId="0" applyFont="1" applyFill="1" applyBorder="1" applyAlignment="1" applyProtection="1">
      <alignment horizontal="left" vertical="center"/>
    </xf>
    <xf numFmtId="0" fontId="38" fillId="0" borderId="72" xfId="0" applyFont="1" applyFill="1" applyBorder="1" applyAlignment="1" applyProtection="1">
      <alignment horizontal="left" vertical="center"/>
    </xf>
    <xf numFmtId="0" fontId="27" fillId="0" borderId="72" xfId="0" applyFont="1" applyFill="1" applyBorder="1" applyAlignment="1">
      <alignment horizontal="center" vertical="center" wrapText="1"/>
    </xf>
    <xf numFmtId="172" fontId="27" fillId="0" borderId="10" xfId="0" applyNumberFormat="1" applyFont="1" applyFill="1" applyBorder="1" applyAlignment="1" applyProtection="1">
      <alignment horizontal="center" vertical="center"/>
    </xf>
    <xf numFmtId="0" fontId="38" fillId="0" borderId="11" xfId="0" applyFont="1" applyFill="1" applyBorder="1" applyAlignment="1" applyProtection="1">
      <alignment vertical="center"/>
    </xf>
    <xf numFmtId="0" fontId="0" fillId="0" borderId="16" xfId="0" applyFont="1" applyFill="1" applyBorder="1" applyAlignment="1" applyProtection="1">
      <alignment horizontal="left" vertical="center" wrapText="1"/>
    </xf>
    <xf numFmtId="167" fontId="27" fillId="0" borderId="10" xfId="0" applyNumberFormat="1" applyFont="1" applyFill="1" applyBorder="1" applyAlignment="1" applyProtection="1">
      <alignment horizontal="center" vertical="center"/>
    </xf>
    <xf numFmtId="166" fontId="27" fillId="0" borderId="10" xfId="0" applyNumberFormat="1" applyFont="1" applyFill="1" applyBorder="1" applyAlignment="1" applyProtection="1">
      <alignment horizontal="center" vertical="center"/>
    </xf>
    <xf numFmtId="0" fontId="38" fillId="0" borderId="16" xfId="0" applyFont="1" applyFill="1" applyBorder="1" applyAlignment="1" applyProtection="1">
      <alignment vertical="center" wrapText="1"/>
    </xf>
    <xf numFmtId="166" fontId="28" fillId="0" borderId="10" xfId="0" applyNumberFormat="1" applyFont="1" applyFill="1" applyBorder="1" applyAlignment="1" applyProtection="1">
      <alignment horizontal="center" vertical="center"/>
    </xf>
    <xf numFmtId="0" fontId="38" fillId="0" borderId="65" xfId="0" applyFont="1" applyFill="1" applyBorder="1" applyAlignment="1" applyProtection="1">
      <alignment vertical="center" wrapText="1"/>
    </xf>
    <xf numFmtId="166" fontId="0" fillId="0" borderId="71" xfId="0" applyNumberFormat="1" applyFont="1" applyFill="1" applyBorder="1" applyAlignment="1" applyProtection="1">
      <alignment horizontal="right" vertical="center" indent="1"/>
    </xf>
    <xf numFmtId="166" fontId="33" fillId="0" borderId="11" xfId="0" applyNumberFormat="1" applyFont="1" applyFill="1" applyBorder="1" applyAlignment="1" applyProtection="1">
      <alignment horizontal="center" vertical="center" wrapText="1"/>
    </xf>
    <xf numFmtId="0" fontId="38" fillId="0" borderId="11" xfId="0" applyFont="1" applyFill="1" applyBorder="1" applyAlignment="1" applyProtection="1">
      <alignment horizontal="left" vertical="center"/>
    </xf>
    <xf numFmtId="0" fontId="0" fillId="0" borderId="16" xfId="0" applyFont="1" applyFill="1" applyBorder="1" applyAlignment="1"/>
    <xf numFmtId="0" fontId="0" fillId="0" borderId="16" xfId="0" applyFont="1" applyFill="1" applyBorder="1" applyAlignment="1">
      <alignment horizontal="center"/>
    </xf>
    <xf numFmtId="0" fontId="38" fillId="0" borderId="59" xfId="0" applyFont="1" applyFill="1" applyBorder="1" applyAlignment="1" applyProtection="1">
      <alignment horizontal="left" vertical="center"/>
    </xf>
    <xf numFmtId="0" fontId="0" fillId="0" borderId="0" xfId="0" applyFont="1" applyFill="1" applyBorder="1"/>
    <xf numFmtId="0" fontId="0" fillId="0" borderId="0" xfId="0" applyFont="1" applyFill="1" applyBorder="1" applyAlignment="1">
      <alignment horizontal="center"/>
    </xf>
    <xf numFmtId="0" fontId="39" fillId="0" borderId="62" xfId="0" applyFont="1" applyFill="1" applyBorder="1" applyAlignment="1" applyProtection="1">
      <alignment horizontal="left" vertical="center"/>
    </xf>
    <xf numFmtId="0" fontId="0" fillId="0" borderId="64" xfId="0" applyFont="1" applyFill="1" applyBorder="1"/>
    <xf numFmtId="0" fontId="35" fillId="0" borderId="64" xfId="0" applyFont="1" applyFill="1" applyBorder="1" applyAlignment="1" applyProtection="1">
      <alignment horizontal="center" vertical="center"/>
    </xf>
    <xf numFmtId="167" fontId="27" fillId="0" borderId="52" xfId="0" applyNumberFormat="1" applyFont="1" applyFill="1" applyBorder="1" applyAlignment="1" applyProtection="1">
      <alignment horizontal="center" vertical="center"/>
    </xf>
    <xf numFmtId="0" fontId="39" fillId="0" borderId="11" xfId="0" applyFont="1" applyFill="1" applyBorder="1" applyAlignment="1" applyProtection="1">
      <alignment horizontal="left" vertical="center"/>
    </xf>
    <xf numFmtId="0" fontId="0" fillId="0" borderId="16" xfId="0" applyFont="1" applyFill="1" applyBorder="1" applyAlignment="1">
      <alignment vertical="center"/>
    </xf>
    <xf numFmtId="0" fontId="35" fillId="0" borderId="16" xfId="0" applyFont="1" applyFill="1" applyBorder="1" applyAlignment="1" applyProtection="1">
      <alignment horizontal="center" vertical="center"/>
    </xf>
    <xf numFmtId="167" fontId="27" fillId="0" borderId="10" xfId="0" applyNumberFormat="1" applyFont="1" applyFill="1" applyBorder="1" applyAlignment="1" applyProtection="1">
      <alignment horizontal="center" vertical="center" wrapText="1" shrinkToFit="1"/>
    </xf>
    <xf numFmtId="0" fontId="28" fillId="0" borderId="72" xfId="0" applyFont="1" applyFill="1" applyBorder="1" applyAlignment="1" applyProtection="1">
      <alignment horizontal="left" vertical="center"/>
    </xf>
    <xf numFmtId="0" fontId="0" fillId="0" borderId="72" xfId="0" applyFont="1" applyFill="1" applyBorder="1"/>
    <xf numFmtId="0" fontId="0" fillId="0" borderId="72" xfId="0" applyFont="1" applyFill="1" applyBorder="1" applyAlignment="1">
      <alignment horizontal="center"/>
    </xf>
    <xf numFmtId="167" fontId="27" fillId="0" borderId="0" xfId="0" applyNumberFormat="1" applyFont="1" applyFill="1" applyBorder="1" applyAlignment="1" applyProtection="1">
      <alignment horizontal="center" vertical="center"/>
    </xf>
    <xf numFmtId="0" fontId="47" fillId="0" borderId="62" xfId="0" applyFont="1" applyFill="1" applyBorder="1" applyAlignment="1" applyProtection="1">
      <alignment horizontal="left" vertical="center"/>
    </xf>
    <xf numFmtId="0" fontId="0" fillId="0" borderId="64" xfId="0" applyFont="1" applyFill="1" applyBorder="1" applyAlignment="1">
      <alignment horizontal="center"/>
    </xf>
    <xf numFmtId="167" fontId="28" fillId="0" borderId="52" xfId="0" applyNumberFormat="1" applyFont="1" applyFill="1" applyBorder="1" applyAlignment="1" applyProtection="1">
      <alignment horizontal="center" vertical="center" wrapText="1"/>
    </xf>
    <xf numFmtId="0" fontId="37" fillId="13" borderId="10" xfId="0" applyFont="1" applyFill="1" applyBorder="1" applyAlignment="1" applyProtection="1">
      <alignment horizontal="center" vertical="center"/>
    </xf>
    <xf numFmtId="0" fontId="37" fillId="13" borderId="52" xfId="0" applyFont="1" applyFill="1" applyBorder="1" applyAlignment="1" applyProtection="1">
      <alignment horizontal="center" vertical="center" wrapText="1"/>
    </xf>
    <xf numFmtId="0" fontId="37" fillId="13" borderId="10" xfId="0" applyFont="1" applyFill="1" applyBorder="1" applyAlignment="1" applyProtection="1">
      <alignment horizontal="center" vertical="center" wrapText="1" shrinkToFit="1"/>
    </xf>
    <xf numFmtId="0" fontId="41" fillId="24"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38" fillId="0" borderId="10" xfId="34" applyFont="1" applyBorder="1" applyAlignment="1">
      <alignment horizontal="left" vertical="center" wrapText="1" indent="1"/>
    </xf>
    <xf numFmtId="166" fontId="38" fillId="0" borderId="10" xfId="34" applyNumberFormat="1" applyFont="1" applyBorder="1" applyAlignment="1">
      <alignment horizontal="center" vertical="center" wrapText="1"/>
    </xf>
    <xf numFmtId="0" fontId="38" fillId="0" borderId="10" xfId="34" applyFont="1" applyBorder="1" applyAlignment="1">
      <alignment horizontal="center" vertical="center" wrapText="1"/>
    </xf>
    <xf numFmtId="167" fontId="38" fillId="0" borderId="10" xfId="34" applyNumberFormat="1" applyFont="1" applyBorder="1" applyAlignment="1">
      <alignment horizontal="center" vertical="center" wrapText="1"/>
    </xf>
    <xf numFmtId="0" fontId="38" fillId="0" borderId="52" xfId="34" applyFont="1" applyBorder="1" applyAlignment="1">
      <alignment horizontal="left" vertical="center" wrapText="1" indent="1"/>
    </xf>
    <xf numFmtId="166" fontId="38" fillId="0" borderId="52" xfId="34" applyNumberFormat="1" applyFont="1" applyBorder="1" applyAlignment="1">
      <alignment horizontal="center" vertical="center" wrapText="1"/>
    </xf>
    <xf numFmtId="0" fontId="38" fillId="0" borderId="52" xfId="34" applyFont="1" applyBorder="1" applyAlignment="1">
      <alignment horizontal="center" vertical="center" wrapText="1"/>
    </xf>
    <xf numFmtId="167" fontId="38" fillId="0" borderId="52" xfId="34" applyNumberFormat="1" applyFont="1" applyBorder="1" applyAlignment="1">
      <alignment horizontal="center" vertical="center" wrapText="1"/>
    </xf>
    <xf numFmtId="0" fontId="47" fillId="24" borderId="10" xfId="0" applyFont="1" applyFill="1" applyBorder="1" applyAlignment="1">
      <alignment horizontal="center" vertical="center" wrapText="1"/>
    </xf>
    <xf numFmtId="0" fontId="52" fillId="19" borderId="11" xfId="34" applyFont="1" applyFill="1" applyBorder="1" applyAlignment="1">
      <alignment horizontal="left" vertical="center" wrapText="1" indent="1"/>
    </xf>
    <xf numFmtId="0" fontId="38" fillId="19" borderId="16" xfId="34" applyFont="1" applyFill="1" applyBorder="1" applyAlignment="1">
      <alignment horizontal="left" vertical="center" wrapText="1" indent="1"/>
    </xf>
    <xf numFmtId="0" fontId="47" fillId="19" borderId="16" xfId="34" applyFont="1" applyFill="1" applyBorder="1" applyAlignment="1">
      <alignment horizontal="right" vertical="center" indent="1"/>
    </xf>
    <xf numFmtId="167" fontId="47" fillId="19" borderId="10" xfId="34" applyNumberFormat="1" applyFont="1" applyFill="1" applyBorder="1" applyAlignment="1">
      <alignment horizontal="center" vertical="center" wrapText="1"/>
    </xf>
    <xf numFmtId="0" fontId="38" fillId="0" borderId="0" xfId="34" applyFont="1" applyBorder="1" applyAlignment="1">
      <alignment horizontal="center" vertical="center" wrapText="1"/>
    </xf>
    <xf numFmtId="0" fontId="38" fillId="0" borderId="0" xfId="34" applyFont="1" applyBorder="1" applyAlignment="1">
      <alignment horizontal="left" vertical="center" wrapText="1"/>
    </xf>
    <xf numFmtId="0" fontId="92" fillId="16" borderId="0" xfId="0" applyFont="1" applyFill="1" applyAlignment="1">
      <alignment horizontal="center" vertical="center"/>
    </xf>
    <xf numFmtId="0" fontId="119" fillId="13" borderId="10" xfId="25" applyNumberFormat="1" applyFont="1" applyFill="1" applyBorder="1" applyAlignment="1" applyProtection="1">
      <alignment horizontal="center" vertical="center"/>
    </xf>
    <xf numFmtId="0" fontId="52" fillId="0" borderId="0" xfId="0" applyFont="1" applyAlignment="1">
      <alignment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0" fontId="28" fillId="0" borderId="0" xfId="0" applyFont="1" applyBorder="1" applyAlignment="1">
      <alignment horizontal="center" vertical="center"/>
    </xf>
    <xf numFmtId="14" fontId="0" fillId="0" borderId="0" xfId="0" applyNumberFormat="1"/>
    <xf numFmtId="0" fontId="47" fillId="0" borderId="0" xfId="0" applyFont="1" applyFill="1" applyAlignment="1" applyProtection="1">
      <alignment vertical="center"/>
    </xf>
    <xf numFmtId="0" fontId="37" fillId="16" borderId="10" xfId="34" applyFont="1" applyFill="1" applyBorder="1" applyAlignment="1" applyProtection="1">
      <alignment horizontal="center" vertical="center"/>
    </xf>
    <xf numFmtId="0" fontId="121" fillId="13" borderId="10" xfId="25" applyNumberFormat="1" applyFont="1" applyFill="1" applyBorder="1" applyAlignment="1" applyProtection="1">
      <alignment horizontal="center" vertical="center"/>
    </xf>
    <xf numFmtId="0" fontId="9" fillId="16" borderId="0" xfId="34" applyFont="1" applyFill="1" applyAlignment="1" applyProtection="1">
      <alignment horizontal="center" vertical="center"/>
    </xf>
    <xf numFmtId="0" fontId="27" fillId="16" borderId="11" xfId="34" applyFont="1" applyFill="1" applyBorder="1" applyAlignment="1" applyProtection="1">
      <alignment horizontal="center" vertical="center"/>
    </xf>
    <xf numFmtId="0" fontId="27" fillId="16" borderId="0" xfId="34" applyFont="1" applyFill="1" applyBorder="1" applyAlignment="1" applyProtection="1">
      <alignment horizontal="left"/>
    </xf>
    <xf numFmtId="0" fontId="0" fillId="16" borderId="0" xfId="34" applyFont="1" applyFill="1" applyBorder="1" applyAlignment="1" applyProtection="1">
      <alignment horizontal="left"/>
    </xf>
    <xf numFmtId="0" fontId="38" fillId="16" borderId="0" xfId="34" applyFont="1" applyFill="1" applyBorder="1" applyAlignment="1" applyProtection="1">
      <alignment horizontal="left" wrapText="1"/>
    </xf>
    <xf numFmtId="0" fontId="47" fillId="0" borderId="0" xfId="0" applyFont="1" applyFill="1" applyAlignment="1" applyProtection="1">
      <alignment horizontal="left"/>
    </xf>
    <xf numFmtId="16" fontId="38" fillId="10" borderId="65" xfId="34" applyNumberFormat="1" applyFont="1" applyFill="1" applyBorder="1" applyAlignment="1" applyProtection="1">
      <alignment horizontal="center" vertical="center" wrapText="1"/>
      <protection locked="0"/>
    </xf>
    <xf numFmtId="0" fontId="38" fillId="10" borderId="65" xfId="34" applyFont="1" applyFill="1" applyBorder="1" applyAlignment="1" applyProtection="1">
      <alignment horizontal="center" vertical="center" wrapText="1"/>
      <protection locked="0"/>
    </xf>
    <xf numFmtId="0" fontId="38" fillId="36" borderId="65" xfId="34" applyFont="1" applyFill="1" applyBorder="1" applyAlignment="1" applyProtection="1">
      <alignment horizontal="center" vertical="center" wrapText="1"/>
    </xf>
    <xf numFmtId="4" fontId="38" fillId="10" borderId="65" xfId="34" applyNumberFormat="1" applyFont="1" applyFill="1" applyBorder="1" applyAlignment="1" applyProtection="1">
      <alignment horizontal="center" vertical="center" wrapText="1"/>
      <protection locked="0"/>
    </xf>
    <xf numFmtId="0" fontId="38" fillId="10" borderId="15" xfId="34" applyFont="1" applyFill="1" applyBorder="1" applyAlignment="1" applyProtection="1">
      <alignment horizontal="center" vertical="center" wrapText="1"/>
      <protection locked="0"/>
    </xf>
    <xf numFmtId="4" fontId="38" fillId="10" borderId="15" xfId="34" applyNumberFormat="1" applyFont="1" applyFill="1" applyBorder="1" applyAlignment="1" applyProtection="1">
      <alignment horizontal="center" vertical="center" wrapText="1"/>
      <protection locked="0"/>
    </xf>
    <xf numFmtId="0" fontId="101" fillId="13" borderId="10" xfId="25" applyNumberFormat="1" applyFont="1" applyFill="1" applyBorder="1" applyAlignment="1" applyProtection="1">
      <alignment horizontal="center" vertical="center"/>
    </xf>
    <xf numFmtId="0" fontId="23" fillId="16" borderId="0" xfId="34" applyFont="1" applyFill="1" applyAlignment="1" applyProtection="1">
      <alignment horizontal="right" vertical="center" indent="1"/>
    </xf>
    <xf numFmtId="0" fontId="0" fillId="16" borderId="0" xfId="0" applyFont="1" applyFill="1" applyBorder="1" applyProtection="1"/>
    <xf numFmtId="0" fontId="60" fillId="16" borderId="0" xfId="34" applyFont="1" applyFill="1" applyAlignment="1" applyProtection="1">
      <alignment horizontal="right" vertical="center"/>
    </xf>
    <xf numFmtId="0" fontId="28" fillId="0" borderId="62" xfId="34" applyFont="1" applyBorder="1" applyAlignment="1" applyProtection="1">
      <alignment vertical="center"/>
    </xf>
    <xf numFmtId="0" fontId="28" fillId="0" borderId="64" xfId="34" applyFont="1" applyBorder="1" applyAlignment="1" applyProtection="1">
      <alignment vertical="center"/>
    </xf>
    <xf numFmtId="0" fontId="28" fillId="0" borderId="63" xfId="34" applyFont="1" applyBorder="1" applyAlignment="1" applyProtection="1">
      <alignment vertical="center"/>
    </xf>
    <xf numFmtId="0" fontId="27" fillId="0" borderId="11" xfId="0" applyFont="1" applyBorder="1" applyAlignment="1" applyProtection="1">
      <alignment vertical="center"/>
    </xf>
    <xf numFmtId="0" fontId="38" fillId="0" borderId="16" xfId="0" applyFont="1" applyBorder="1" applyAlignment="1" applyProtection="1">
      <alignment vertical="center"/>
    </xf>
    <xf numFmtId="0" fontId="0" fillId="0" borderId="16" xfId="0" applyBorder="1" applyProtection="1"/>
    <xf numFmtId="0" fontId="0" fillId="0" borderId="15" xfId="0" applyBorder="1" applyProtection="1"/>
    <xf numFmtId="0" fontId="28" fillId="16" borderId="10" xfId="0" applyFont="1" applyFill="1" applyBorder="1" applyAlignment="1" applyProtection="1">
      <alignment horizontal="center" vertical="center"/>
    </xf>
    <xf numFmtId="0" fontId="0" fillId="16" borderId="0" xfId="0" applyFont="1" applyFill="1" applyBorder="1" applyAlignment="1" applyProtection="1">
      <alignment vertical="top"/>
    </xf>
    <xf numFmtId="0" fontId="0" fillId="16" borderId="0" xfId="34" applyFont="1" applyFill="1" applyBorder="1" applyAlignment="1" applyProtection="1"/>
    <xf numFmtId="0" fontId="38" fillId="16" borderId="0" xfId="34" applyFont="1" applyFill="1" applyBorder="1" applyAlignment="1" applyProtection="1">
      <alignment vertical="center" wrapText="1"/>
    </xf>
    <xf numFmtId="0" fontId="41" fillId="24" borderId="65" xfId="34" applyFont="1" applyFill="1" applyBorder="1" applyAlignment="1" applyProtection="1">
      <alignment horizontal="center" vertical="center" wrapText="1"/>
    </xf>
    <xf numFmtId="0" fontId="38" fillId="24" borderId="72" xfId="34" applyFont="1" applyFill="1" applyBorder="1" applyAlignment="1" applyProtection="1">
      <alignment vertical="center" wrapText="1"/>
    </xf>
    <xf numFmtId="167" fontId="27" fillId="0" borderId="65" xfId="34" applyNumberFormat="1" applyFont="1" applyFill="1" applyBorder="1" applyAlignment="1" applyProtection="1">
      <alignment horizontal="center" vertical="center" wrapText="1"/>
    </xf>
    <xf numFmtId="171" fontId="43" fillId="18" borderId="46" xfId="34" applyNumberFormat="1" applyFont="1" applyFill="1" applyBorder="1" applyAlignment="1" applyProtection="1">
      <alignment horizontal="center" vertical="center" wrapText="1"/>
      <protection locked="0"/>
    </xf>
    <xf numFmtId="0" fontId="43" fillId="18" borderId="65" xfId="34" applyNumberFormat="1" applyFont="1" applyFill="1" applyBorder="1" applyAlignment="1" applyProtection="1">
      <alignment horizontal="center" vertical="center" wrapText="1"/>
      <protection locked="0"/>
    </xf>
    <xf numFmtId="0" fontId="43" fillId="18" borderId="15" xfId="34" applyFont="1" applyFill="1" applyBorder="1" applyAlignment="1" applyProtection="1">
      <alignment horizontal="center" vertical="center" wrapText="1"/>
      <protection locked="0"/>
    </xf>
    <xf numFmtId="4" fontId="43" fillId="18" borderId="15" xfId="34" applyNumberFormat="1" applyFont="1" applyFill="1" applyBorder="1" applyAlignment="1" applyProtection="1">
      <alignment horizontal="center" vertical="center" wrapText="1"/>
      <protection locked="0"/>
    </xf>
    <xf numFmtId="166" fontId="43" fillId="18" borderId="15" xfId="34" applyNumberFormat="1" applyFont="1" applyFill="1" applyBorder="1" applyAlignment="1" applyProtection="1">
      <alignment horizontal="center" vertical="center" wrapText="1"/>
      <protection locked="0"/>
    </xf>
    <xf numFmtId="167" fontId="43" fillId="18" borderId="65" xfId="34" applyNumberFormat="1" applyFont="1" applyFill="1" applyBorder="1" applyAlignment="1" applyProtection="1">
      <alignment horizontal="center" vertical="center" wrapText="1"/>
    </xf>
    <xf numFmtId="0" fontId="38" fillId="10" borderId="65" xfId="34" applyNumberFormat="1" applyFont="1" applyFill="1" applyBorder="1" applyAlignment="1" applyProtection="1">
      <alignment horizontal="center" vertical="center" wrapText="1"/>
      <protection locked="0"/>
    </xf>
    <xf numFmtId="0" fontId="0" fillId="0" borderId="10" xfId="34" applyFont="1" applyFill="1" applyBorder="1" applyAlignment="1">
      <alignment horizontal="center" vertical="center"/>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16" fontId="15" fillId="0" borderId="10"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6" fontId="15" fillId="0" borderId="10" xfId="0" applyNumberFormat="1" applyFont="1" applyBorder="1" applyAlignment="1" applyProtection="1">
      <alignment horizontal="center" vertical="center"/>
    </xf>
    <xf numFmtId="0" fontId="0" fillId="0" borderId="15" xfId="0" applyBorder="1" applyAlignment="1" applyProtection="1">
      <alignment horizontal="center" vertical="center" wrapText="1"/>
    </xf>
    <xf numFmtId="0" fontId="0" fillId="0" borderId="10" xfId="0" applyBorder="1" applyAlignment="1" applyProtection="1">
      <alignment horizontal="center" vertical="center" wrapText="1"/>
    </xf>
    <xf numFmtId="0" fontId="54" fillId="0" borderId="0" xfId="0" applyFont="1"/>
    <xf numFmtId="0" fontId="46" fillId="0" borderId="0" xfId="34" applyFont="1"/>
    <xf numFmtId="0" fontId="0" fillId="0" borderId="10" xfId="34" applyFont="1" applyFill="1" applyBorder="1" applyAlignment="1" applyProtection="1">
      <alignment vertical="center"/>
      <protection locked="0"/>
    </xf>
    <xf numFmtId="2" fontId="0" fillId="0" borderId="10" xfId="34" applyNumberFormat="1" applyFont="1" applyFill="1" applyBorder="1" applyAlignment="1" applyProtection="1">
      <alignment horizontal="center" vertical="center"/>
      <protection locked="0"/>
    </xf>
    <xf numFmtId="0" fontId="37" fillId="0" borderId="0" xfId="34" applyFont="1"/>
    <xf numFmtId="0" fontId="39" fillId="0" borderId="0" xfId="34" applyFont="1"/>
    <xf numFmtId="0" fontId="46" fillId="0" borderId="0" xfId="34" applyFont="1" applyAlignment="1">
      <alignment vertical="center"/>
    </xf>
    <xf numFmtId="0" fontId="0" fillId="0" borderId="52" xfId="34" applyFont="1" applyFill="1" applyBorder="1" applyAlignment="1" applyProtection="1">
      <alignment vertical="center"/>
      <protection locked="0"/>
    </xf>
    <xf numFmtId="2" fontId="0" fillId="0" borderId="52" xfId="34" applyNumberFormat="1" applyFont="1" applyFill="1" applyBorder="1" applyAlignment="1" applyProtection="1">
      <alignment horizontal="center" vertical="center"/>
      <protection locked="0"/>
    </xf>
    <xf numFmtId="166" fontId="27" fillId="9" borderId="10" xfId="34" applyNumberFormat="1" applyFont="1" applyFill="1" applyBorder="1" applyAlignment="1">
      <alignment horizontal="center" vertical="center"/>
    </xf>
    <xf numFmtId="0" fontId="46" fillId="0" borderId="0" xfId="34" applyFont="1" applyAlignment="1" applyProtection="1">
      <alignment horizontal="left"/>
      <protection locked="0" hidden="1"/>
    </xf>
    <xf numFmtId="0" fontId="46" fillId="0" borderId="0" xfId="34" applyFont="1" applyAlignment="1" applyProtection="1">
      <alignment horizontal="center"/>
      <protection locked="0" hidden="1"/>
    </xf>
    <xf numFmtId="0" fontId="46" fillId="0" borderId="0" xfId="34" applyFont="1" applyBorder="1" applyAlignment="1" applyProtection="1">
      <alignment horizontal="center"/>
      <protection hidden="1"/>
    </xf>
    <xf numFmtId="0" fontId="46" fillId="0" borderId="0" xfId="34" applyFont="1" applyBorder="1" applyProtection="1">
      <protection hidden="1"/>
    </xf>
    <xf numFmtId="0" fontId="0" fillId="0" borderId="10" xfId="34" applyFont="1" applyFill="1" applyBorder="1" applyAlignment="1" applyProtection="1">
      <alignment horizontal="center" vertical="center"/>
      <protection hidden="1"/>
    </xf>
    <xf numFmtId="0" fontId="39" fillId="0" borderId="0" xfId="34" applyFont="1" applyAlignment="1"/>
    <xf numFmtId="173" fontId="0" fillId="9" borderId="10" xfId="34" applyNumberFormat="1" applyFont="1" applyFill="1" applyBorder="1" applyAlignment="1" applyProtection="1">
      <alignment horizontal="center" vertical="center"/>
      <protection hidden="1"/>
    </xf>
    <xf numFmtId="0" fontId="0" fillId="9" borderId="10" xfId="34" applyFont="1" applyFill="1" applyBorder="1" applyAlignment="1" applyProtection="1">
      <alignment horizontal="center" vertical="center"/>
      <protection hidden="1"/>
    </xf>
    <xf numFmtId="1" fontId="0" fillId="10" borderId="10" xfId="34" applyNumberFormat="1" applyFont="1" applyFill="1" applyBorder="1" applyAlignment="1" applyProtection="1">
      <alignment horizontal="center" vertical="center"/>
      <protection locked="0" hidden="1"/>
    </xf>
    <xf numFmtId="0" fontId="0" fillId="0" borderId="10" xfId="34" applyFont="1" applyFill="1" applyBorder="1" applyAlignment="1" applyProtection="1">
      <alignment horizontal="center"/>
      <protection hidden="1"/>
    </xf>
    <xf numFmtId="173" fontId="0" fillId="10" borderId="10" xfId="34" applyNumberFormat="1" applyFont="1" applyFill="1" applyBorder="1" applyAlignment="1" applyProtection="1">
      <alignment horizontal="center" vertical="center"/>
      <protection locked="0" hidden="1"/>
    </xf>
    <xf numFmtId="0" fontId="0" fillId="10" borderId="10" xfId="34" applyFont="1" applyFill="1" applyBorder="1" applyAlignment="1" applyProtection="1">
      <alignment horizontal="center" vertical="center"/>
      <protection locked="0" hidden="1"/>
    </xf>
    <xf numFmtId="1" fontId="0" fillId="9" borderId="10" xfId="34" applyNumberFormat="1" applyFont="1" applyFill="1" applyBorder="1" applyAlignment="1" applyProtection="1">
      <alignment horizontal="center" vertical="center"/>
      <protection hidden="1"/>
    </xf>
    <xf numFmtId="1" fontId="0" fillId="0" borderId="10" xfId="34" applyNumberFormat="1" applyFont="1" applyFill="1" applyBorder="1" applyAlignment="1" applyProtection="1">
      <alignment horizontal="center"/>
      <protection hidden="1"/>
    </xf>
    <xf numFmtId="0" fontId="39" fillId="0" borderId="0" xfId="34" applyFont="1" applyAlignment="1">
      <alignment vertical="center"/>
    </xf>
    <xf numFmtId="173" fontId="0" fillId="14" borderId="10" xfId="34" applyNumberFormat="1" applyFont="1" applyFill="1" applyBorder="1" applyAlignment="1" applyProtection="1">
      <alignment horizontal="center" vertical="center"/>
      <protection hidden="1"/>
    </xf>
    <xf numFmtId="0" fontId="0" fillId="14" borderId="10" xfId="34" applyFont="1" applyFill="1" applyBorder="1" applyAlignment="1" applyProtection="1">
      <alignment horizontal="center" vertical="center"/>
      <protection hidden="1"/>
    </xf>
    <xf numFmtId="1" fontId="0" fillId="14" borderId="10" xfId="34" applyNumberFormat="1" applyFont="1" applyFill="1" applyBorder="1" applyAlignment="1" applyProtection="1">
      <alignment horizontal="center" vertical="center"/>
      <protection hidden="1"/>
    </xf>
    <xf numFmtId="0" fontId="0" fillId="0" borderId="0" xfId="34" applyFont="1" applyFill="1" applyAlignment="1" applyProtection="1">
      <alignment horizontal="center"/>
      <protection hidden="1"/>
    </xf>
    <xf numFmtId="1" fontId="0" fillId="0" borderId="18" xfId="34" applyNumberFormat="1" applyFont="1" applyFill="1" applyBorder="1" applyAlignment="1" applyProtection="1">
      <alignment horizontal="center"/>
      <protection hidden="1"/>
    </xf>
    <xf numFmtId="0" fontId="0" fillId="0" borderId="18" xfId="34" applyFont="1" applyFill="1" applyBorder="1" applyAlignment="1" applyProtection="1">
      <alignment horizontal="center"/>
      <protection hidden="1"/>
    </xf>
    <xf numFmtId="0" fontId="37" fillId="0" borderId="45"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92" xfId="0" applyFont="1" applyBorder="1" applyAlignment="1">
      <alignment horizontal="center" vertical="center" wrapText="1"/>
    </xf>
    <xf numFmtId="0" fontId="47" fillId="0" borderId="30" xfId="0" applyFont="1" applyFill="1" applyBorder="1" applyAlignment="1">
      <alignment horizontal="center" vertical="center" wrapText="1"/>
    </xf>
    <xf numFmtId="0" fontId="47" fillId="33" borderId="28" xfId="0" applyFont="1" applyFill="1" applyBorder="1" applyAlignment="1" applyProtection="1">
      <alignment horizontal="center"/>
      <protection hidden="1"/>
    </xf>
    <xf numFmtId="0" fontId="78" fillId="33" borderId="65" xfId="0" applyFont="1" applyFill="1" applyBorder="1"/>
    <xf numFmtId="0" fontId="78" fillId="33" borderId="92" xfId="0" applyFont="1" applyFill="1" applyBorder="1"/>
    <xf numFmtId="0" fontId="26" fillId="0" borderId="0" xfId="0" applyFont="1"/>
    <xf numFmtId="0" fontId="78" fillId="33" borderId="10" xfId="0" applyFont="1" applyFill="1" applyBorder="1" applyAlignment="1"/>
    <xf numFmtId="0" fontId="78" fillId="33" borderId="29" xfId="0" applyFont="1" applyFill="1" applyBorder="1" applyAlignment="1"/>
    <xf numFmtId="0" fontId="37" fillId="33" borderId="83" xfId="0" applyFont="1" applyFill="1" applyBorder="1"/>
    <xf numFmtId="0" fontId="37" fillId="33" borderId="47" xfId="0" applyFont="1" applyFill="1" applyBorder="1" applyAlignment="1"/>
    <xf numFmtId="0" fontId="37" fillId="33" borderId="45" xfId="0" applyFont="1" applyFill="1" applyBorder="1"/>
    <xf numFmtId="0" fontId="37" fillId="33" borderId="92" xfId="0" applyFont="1" applyFill="1" applyBorder="1"/>
    <xf numFmtId="0" fontId="47" fillId="33" borderId="45" xfId="0" applyFont="1" applyFill="1" applyBorder="1" applyAlignment="1" applyProtection="1">
      <alignment horizontal="center"/>
      <protection hidden="1"/>
    </xf>
    <xf numFmtId="0" fontId="47" fillId="24" borderId="28" xfId="0" applyFont="1" applyFill="1" applyBorder="1" applyAlignment="1" applyProtection="1">
      <alignment horizontal="left"/>
      <protection hidden="1"/>
    </xf>
    <xf numFmtId="0" fontId="78" fillId="24" borderId="65" xfId="0" applyFont="1" applyFill="1" applyBorder="1"/>
    <xf numFmtId="0" fontId="78" fillId="24" borderId="92" xfId="0" applyFont="1" applyFill="1" applyBorder="1"/>
    <xf numFmtId="0" fontId="78" fillId="24" borderId="10" xfId="0" applyFont="1" applyFill="1" applyBorder="1" applyAlignment="1"/>
    <xf numFmtId="0" fontId="78" fillId="24" borderId="29" xfId="0" applyFont="1" applyFill="1" applyBorder="1" applyAlignment="1"/>
    <xf numFmtId="0" fontId="37" fillId="24" borderId="44" xfId="0" applyFont="1" applyFill="1" applyBorder="1"/>
    <xf numFmtId="0" fontId="37" fillId="24" borderId="29" xfId="0" applyFont="1" applyFill="1" applyBorder="1" applyAlignment="1"/>
    <xf numFmtId="0" fontId="37" fillId="24" borderId="28" xfId="0" applyFont="1" applyFill="1" applyBorder="1"/>
    <xf numFmtId="0" fontId="37" fillId="24" borderId="49" xfId="0" applyFont="1" applyFill="1" applyBorder="1"/>
    <xf numFmtId="0" fontId="0" fillId="0" borderId="45" xfId="0" applyFont="1" applyBorder="1" applyAlignment="1">
      <alignment wrapText="1"/>
    </xf>
    <xf numFmtId="0" fontId="28" fillId="0" borderId="65" xfId="0" applyFont="1" applyBorder="1" applyAlignment="1">
      <alignment horizontal="center"/>
    </xf>
    <xf numFmtId="0" fontId="28" fillId="0" borderId="92" xfId="0" applyFont="1" applyBorder="1" applyAlignment="1">
      <alignment horizontal="center"/>
    </xf>
    <xf numFmtId="166" fontId="28" fillId="0" borderId="10" xfId="0" applyNumberFormat="1" applyFont="1" applyBorder="1" applyAlignment="1">
      <alignment horizontal="center"/>
    </xf>
    <xf numFmtId="166" fontId="28" fillId="0" borderId="29" xfId="0" applyNumberFormat="1" applyFont="1" applyBorder="1" applyAlignment="1">
      <alignment horizontal="center"/>
    </xf>
    <xf numFmtId="167" fontId="37" fillId="0" borderId="44" xfId="0" applyNumberFormat="1" applyFont="1" applyFill="1" applyBorder="1" applyAlignment="1">
      <alignment horizontal="center" vertical="center"/>
    </xf>
    <xf numFmtId="167" fontId="37" fillId="0" borderId="29" xfId="0" applyNumberFormat="1" applyFont="1" applyFill="1" applyBorder="1" applyAlignment="1">
      <alignment horizontal="center" vertical="center"/>
    </xf>
    <xf numFmtId="167" fontId="37" fillId="0" borderId="28" xfId="0" applyNumberFormat="1" applyFont="1" applyFill="1" applyBorder="1" applyAlignment="1">
      <alignment horizontal="center" vertical="center"/>
    </xf>
    <xf numFmtId="167" fontId="37" fillId="0" borderId="49" xfId="0" applyNumberFormat="1" applyFont="1" applyFill="1" applyBorder="1" applyAlignment="1">
      <alignment horizontal="center" vertical="center"/>
    </xf>
    <xf numFmtId="0" fontId="0" fillId="0" borderId="28" xfId="0" applyFont="1" applyFill="1" applyBorder="1" applyAlignment="1">
      <alignment vertical="center"/>
    </xf>
    <xf numFmtId="0" fontId="70" fillId="0" borderId="0" xfId="0" applyFont="1"/>
    <xf numFmtId="0" fontId="0" fillId="0" borderId="28" xfId="0" applyFont="1" applyFill="1" applyBorder="1" applyAlignment="1">
      <alignment horizontal="left" vertical="center"/>
    </xf>
    <xf numFmtId="0" fontId="124" fillId="24" borderId="65" xfId="0" applyFont="1" applyFill="1" applyBorder="1" applyAlignment="1">
      <alignment horizontal="center"/>
    </xf>
    <xf numFmtId="0" fontId="37" fillId="24" borderId="65" xfId="0" applyFont="1" applyFill="1" applyBorder="1" applyAlignment="1">
      <alignment horizontal="center"/>
    </xf>
    <xf numFmtId="0" fontId="124" fillId="24" borderId="92" xfId="0" applyFont="1" applyFill="1" applyBorder="1" applyAlignment="1">
      <alignment horizontal="center"/>
    </xf>
    <xf numFmtId="166" fontId="124" fillId="24" borderId="10" xfId="0" applyNumberFormat="1" applyFont="1" applyFill="1" applyBorder="1" applyAlignment="1">
      <alignment horizontal="center"/>
    </xf>
    <xf numFmtId="166" fontId="124" fillId="24" borderId="29" xfId="0" applyNumberFormat="1" applyFont="1" applyFill="1" applyBorder="1" applyAlignment="1">
      <alignment horizontal="center"/>
    </xf>
    <xf numFmtId="174" fontId="37" fillId="24" borderId="44" xfId="0" applyNumberFormat="1" applyFont="1" applyFill="1" applyBorder="1" applyAlignment="1">
      <alignment horizontal="center"/>
    </xf>
    <xf numFmtId="167" fontId="37" fillId="24" borderId="29" xfId="0" applyNumberFormat="1" applyFont="1" applyFill="1" applyBorder="1" applyAlignment="1">
      <alignment horizontal="center"/>
    </xf>
    <xf numFmtId="167" fontId="37" fillId="24" borderId="28" xfId="0" applyNumberFormat="1" applyFont="1" applyFill="1" applyBorder="1" applyAlignment="1">
      <alignment horizontal="center"/>
    </xf>
    <xf numFmtId="174" fontId="37" fillId="24" borderId="49" xfId="0" applyNumberFormat="1" applyFont="1" applyFill="1" applyBorder="1" applyAlignment="1">
      <alignment horizontal="center"/>
    </xf>
    <xf numFmtId="0" fontId="47" fillId="24" borderId="28" xfId="0" applyFont="1" applyFill="1" applyBorder="1" applyAlignment="1">
      <alignment vertical="center"/>
    </xf>
    <xf numFmtId="174" fontId="37" fillId="24" borderId="29" xfId="0" applyNumberFormat="1" applyFont="1" applyFill="1" applyBorder="1" applyAlignment="1">
      <alignment horizontal="center"/>
    </xf>
    <xf numFmtId="174" fontId="37" fillId="24" borderId="28" xfId="0" applyNumberFormat="1" applyFont="1" applyFill="1" applyBorder="1" applyAlignment="1">
      <alignment horizontal="center"/>
    </xf>
    <xf numFmtId="0" fontId="47" fillId="24" borderId="28" xfId="0" applyFont="1" applyFill="1" applyBorder="1" applyAlignment="1">
      <alignment horizontal="left" vertical="center"/>
    </xf>
    <xf numFmtId="0" fontId="0" fillId="0" borderId="28" xfId="0" applyFont="1" applyBorder="1" applyAlignment="1">
      <alignment horizontal="left"/>
    </xf>
    <xf numFmtId="166" fontId="28" fillId="0" borderId="92" xfId="0" applyNumberFormat="1" applyFont="1" applyBorder="1" applyAlignment="1">
      <alignment horizontal="center"/>
    </xf>
    <xf numFmtId="0" fontId="26" fillId="0" borderId="0" xfId="0" applyFont="1" applyAlignment="1">
      <alignment horizontal="center"/>
    </xf>
    <xf numFmtId="0" fontId="0" fillId="0" borderId="28" xfId="0" applyFont="1" applyBorder="1" applyAlignment="1" applyProtection="1">
      <alignment horizontal="left"/>
      <protection hidden="1"/>
    </xf>
    <xf numFmtId="166" fontId="28" fillId="0" borderId="65" xfId="0" applyNumberFormat="1" applyFont="1" applyBorder="1" applyAlignment="1">
      <alignment horizontal="center"/>
    </xf>
    <xf numFmtId="0" fontId="39" fillId="0" borderId="28" xfId="0" applyFont="1" applyBorder="1" applyAlignment="1">
      <alignment horizontal="left"/>
    </xf>
    <xf numFmtId="0" fontId="70" fillId="33" borderId="65" xfId="0" applyFont="1" applyFill="1" applyBorder="1"/>
    <xf numFmtId="0" fontId="70" fillId="33" borderId="92" xfId="0" applyFont="1" applyFill="1" applyBorder="1"/>
    <xf numFmtId="166" fontId="124" fillId="33" borderId="10" xfId="0" applyNumberFormat="1" applyFont="1" applyFill="1" applyBorder="1" applyAlignment="1">
      <alignment horizontal="center"/>
    </xf>
    <xf numFmtId="166" fontId="124" fillId="33" borderId="29" xfId="0" applyNumberFormat="1" applyFont="1" applyFill="1" applyBorder="1" applyAlignment="1">
      <alignment horizontal="center"/>
    </xf>
    <xf numFmtId="174" fontId="37" fillId="33" borderId="44" xfId="0" applyNumberFormat="1" applyFont="1" applyFill="1" applyBorder="1" applyAlignment="1">
      <alignment horizontal="center"/>
    </xf>
    <xf numFmtId="174" fontId="37" fillId="33" borderId="29" xfId="0" applyNumberFormat="1" applyFont="1" applyFill="1" applyBorder="1" applyAlignment="1">
      <alignment horizontal="center"/>
    </xf>
    <xf numFmtId="174" fontId="37" fillId="33" borderId="28" xfId="0" applyNumberFormat="1" applyFont="1" applyFill="1" applyBorder="1" applyAlignment="1">
      <alignment horizontal="center"/>
    </xf>
    <xf numFmtId="174" fontId="37" fillId="33" borderId="49" xfId="0" applyNumberFormat="1" applyFont="1" applyFill="1" applyBorder="1" applyAlignment="1">
      <alignment horizontal="center"/>
    </xf>
    <xf numFmtId="0" fontId="125" fillId="24" borderId="65" xfId="0" applyFont="1" applyFill="1" applyBorder="1" applyAlignment="1">
      <alignment horizontal="center"/>
    </xf>
    <xf numFmtId="0" fontId="125" fillId="24" borderId="92" xfId="0" applyFont="1" applyFill="1" applyBorder="1" applyAlignment="1">
      <alignment horizontal="center"/>
    </xf>
    <xf numFmtId="0" fontId="70" fillId="0" borderId="0" xfId="0" applyFont="1" applyAlignment="1">
      <alignment horizontal="left"/>
    </xf>
    <xf numFmtId="0" fontId="126" fillId="24" borderId="28" xfId="0" applyFont="1" applyFill="1" applyBorder="1" applyAlignment="1">
      <alignment vertical="center"/>
    </xf>
    <xf numFmtId="0" fontId="26" fillId="0" borderId="0" xfId="0" applyFont="1" applyAlignment="1">
      <alignment horizontal="left"/>
    </xf>
    <xf numFmtId="4" fontId="37" fillId="0" borderId="44" xfId="0" applyNumberFormat="1" applyFont="1" applyFill="1" applyBorder="1" applyAlignment="1">
      <alignment horizontal="center" vertical="center"/>
    </xf>
    <xf numFmtId="4" fontId="37" fillId="0" borderId="29" xfId="0" applyNumberFormat="1" applyFont="1" applyBorder="1" applyAlignment="1">
      <alignment horizontal="center"/>
    </xf>
    <xf numFmtId="4" fontId="37" fillId="0" borderId="28" xfId="0" applyNumberFormat="1" applyFont="1" applyBorder="1" applyAlignment="1">
      <alignment horizontal="center"/>
    </xf>
    <xf numFmtId="4" fontId="37" fillId="0" borderId="49" xfId="0" applyNumberFormat="1" applyFont="1" applyBorder="1" applyAlignment="1">
      <alignment horizontal="center"/>
    </xf>
    <xf numFmtId="0" fontId="0" fillId="0" borderId="28" xfId="0" applyFont="1" applyBorder="1" applyAlignment="1">
      <alignment wrapText="1"/>
    </xf>
    <xf numFmtId="0" fontId="33" fillId="0" borderId="45" xfId="0" applyFont="1" applyBorder="1" applyAlignment="1">
      <alignment wrapText="1"/>
    </xf>
    <xf numFmtId="0" fontId="124" fillId="24" borderId="10" xfId="0" applyFont="1" applyFill="1" applyBorder="1" applyAlignment="1">
      <alignment horizontal="left" wrapText="1"/>
    </xf>
    <xf numFmtId="0" fontId="124" fillId="24" borderId="29" xfId="0" applyFont="1" applyFill="1" applyBorder="1" applyAlignment="1">
      <alignment horizontal="left" wrapText="1"/>
    </xf>
    <xf numFmtId="4" fontId="37" fillId="24" borderId="44" xfId="0" applyNumberFormat="1" applyFont="1" applyFill="1" applyBorder="1" applyAlignment="1">
      <alignment horizontal="center"/>
    </xf>
    <xf numFmtId="4" fontId="37" fillId="24" borderId="29" xfId="0" applyNumberFormat="1" applyFont="1" applyFill="1" applyBorder="1" applyAlignment="1">
      <alignment horizontal="center"/>
    </xf>
    <xf numFmtId="4" fontId="37" fillId="24" borderId="28" xfId="0" applyNumberFormat="1" applyFont="1" applyFill="1" applyBorder="1" applyAlignment="1">
      <alignment horizontal="center"/>
    </xf>
    <xf numFmtId="4" fontId="37" fillId="24" borderId="49" xfId="0" applyNumberFormat="1" applyFont="1" applyFill="1" applyBorder="1" applyAlignment="1">
      <alignment horizontal="center"/>
    </xf>
    <xf numFmtId="0" fontId="37" fillId="24" borderId="28" xfId="0" applyFont="1" applyFill="1" applyBorder="1" applyAlignment="1">
      <alignment wrapText="1"/>
    </xf>
    <xf numFmtId="4" fontId="37" fillId="0" borderId="49" xfId="0" applyNumberFormat="1" applyFont="1" applyFill="1" applyBorder="1" applyAlignment="1">
      <alignment horizontal="center" vertical="center"/>
    </xf>
    <xf numFmtId="0" fontId="26" fillId="0" borderId="45" xfId="0" applyFont="1" applyBorder="1" applyAlignment="1">
      <alignment wrapText="1"/>
    </xf>
    <xf numFmtId="0" fontId="47" fillId="24" borderId="44" xfId="0" applyFont="1" applyFill="1" applyBorder="1" applyAlignment="1" applyProtection="1">
      <alignment horizontal="left"/>
      <protection hidden="1"/>
    </xf>
    <xf numFmtId="0" fontId="47" fillId="24" borderId="10" xfId="0" applyFont="1" applyFill="1" applyBorder="1" applyAlignment="1" applyProtection="1">
      <alignment horizontal="left"/>
      <protection hidden="1"/>
    </xf>
    <xf numFmtId="0" fontId="47" fillId="24" borderId="15" xfId="0" applyFont="1" applyFill="1" applyBorder="1" applyAlignment="1" applyProtection="1">
      <alignment horizontal="left"/>
      <protection hidden="1"/>
    </xf>
    <xf numFmtId="0" fontId="28" fillId="24" borderId="28" xfId="0" applyFont="1" applyFill="1" applyBorder="1" applyAlignment="1">
      <alignment wrapText="1"/>
    </xf>
    <xf numFmtId="4" fontId="37" fillId="0" borderId="44" xfId="0" applyNumberFormat="1" applyFont="1" applyBorder="1" applyAlignment="1">
      <alignment horizontal="center"/>
    </xf>
    <xf numFmtId="0" fontId="57" fillId="0" borderId="0" xfId="25" applyNumberFormat="1" applyFont="1" applyFill="1" applyBorder="1" applyAlignment="1" applyProtection="1">
      <alignment horizontal="center" vertical="center"/>
    </xf>
    <xf numFmtId="0" fontId="0" fillId="0" borderId="0" xfId="0" applyFont="1" applyAlignment="1">
      <alignment horizontal="center"/>
    </xf>
    <xf numFmtId="174" fontId="0" fillId="33" borderId="44" xfId="0" applyNumberFormat="1" applyFont="1" applyFill="1" applyBorder="1" applyAlignment="1">
      <alignment horizontal="center" vertical="center" wrapText="1"/>
    </xf>
    <xf numFmtId="174" fontId="0" fillId="33" borderId="49" xfId="0" applyNumberFormat="1" applyFont="1" applyFill="1" applyBorder="1" applyAlignment="1">
      <alignment horizontal="center" vertical="center" wrapText="1"/>
    </xf>
    <xf numFmtId="174" fontId="37" fillId="0" borderId="44" xfId="0" applyNumberFormat="1" applyFont="1" applyBorder="1" applyAlignment="1">
      <alignment horizontal="center"/>
    </xf>
    <xf numFmtId="174" fontId="37" fillId="0" borderId="96" xfId="0" applyNumberFormat="1" applyFont="1" applyBorder="1" applyAlignment="1">
      <alignment horizontal="center"/>
    </xf>
    <xf numFmtId="174" fontId="37" fillId="0" borderId="70" xfId="0" applyNumberFormat="1" applyFont="1" applyBorder="1" applyAlignment="1">
      <alignment horizontal="center"/>
    </xf>
    <xf numFmtId="174" fontId="37" fillId="0" borderId="49" xfId="0" applyNumberFormat="1" applyFont="1" applyBorder="1" applyAlignment="1">
      <alignment horizontal="center"/>
    </xf>
    <xf numFmtId="0" fontId="37" fillId="0" borderId="96" xfId="0" applyFont="1" applyBorder="1" applyAlignment="1">
      <alignment horizontal="center"/>
    </xf>
    <xf numFmtId="0" fontId="37" fillId="0" borderId="70" xfId="0" applyFont="1" applyBorder="1" applyAlignment="1">
      <alignment horizontal="center"/>
    </xf>
    <xf numFmtId="2" fontId="28" fillId="0" borderId="29" xfId="0" applyNumberFormat="1" applyFont="1" applyBorder="1" applyAlignment="1">
      <alignment horizontal="center"/>
    </xf>
    <xf numFmtId="174" fontId="37" fillId="0" borderId="97" xfId="0" applyNumberFormat="1" applyFont="1" applyBorder="1" applyAlignment="1">
      <alignment horizontal="center"/>
    </xf>
    <xf numFmtId="2" fontId="28" fillId="0" borderId="92" xfId="0" applyNumberFormat="1" applyFont="1" applyBorder="1" applyAlignment="1">
      <alignment horizontal="center"/>
    </xf>
    <xf numFmtId="174" fontId="37" fillId="0" borderId="49" xfId="0" applyNumberFormat="1" applyFont="1" applyFill="1" applyBorder="1" applyAlignment="1">
      <alignment horizontal="center"/>
    </xf>
    <xf numFmtId="0" fontId="70" fillId="33" borderId="10" xfId="0" applyFont="1" applyFill="1" applyBorder="1" applyAlignment="1"/>
    <xf numFmtId="0" fontId="28" fillId="24" borderId="28" xfId="0" applyFont="1" applyFill="1" applyBorder="1" applyAlignment="1">
      <alignment horizontal="left" wrapText="1"/>
    </xf>
    <xf numFmtId="0" fontId="28" fillId="0" borderId="65" xfId="0" applyFont="1" applyBorder="1"/>
    <xf numFmtId="0" fontId="28" fillId="0" borderId="10" xfId="0" applyFont="1" applyBorder="1" applyAlignment="1"/>
    <xf numFmtId="167" fontId="37" fillId="0" borderId="49" xfId="0" applyNumberFormat="1" applyFont="1" applyBorder="1" applyAlignment="1">
      <alignment horizontal="center"/>
    </xf>
    <xf numFmtId="0" fontId="0" fillId="0" borderId="28" xfId="0" applyFont="1" applyFill="1" applyBorder="1" applyAlignment="1">
      <alignment wrapText="1"/>
    </xf>
    <xf numFmtId="167" fontId="37" fillId="24" borderId="49" xfId="0" applyNumberFormat="1" applyFont="1" applyFill="1" applyBorder="1" applyAlignment="1">
      <alignment horizontal="center"/>
    </xf>
    <xf numFmtId="4" fontId="37" fillId="33" borderId="49" xfId="0" applyNumberFormat="1" applyFont="1" applyFill="1" applyBorder="1" applyAlignment="1">
      <alignment horizontal="center"/>
    </xf>
    <xf numFmtId="0" fontId="0" fillId="0" borderId="28" xfId="0" applyFont="1" applyBorder="1" applyAlignment="1">
      <alignment horizontal="left" wrapText="1"/>
    </xf>
    <xf numFmtId="0" fontId="28" fillId="0" borderId="15" xfId="0" applyFont="1" applyBorder="1"/>
    <xf numFmtId="0" fontId="28" fillId="0" borderId="49" xfId="0" applyFont="1" applyBorder="1" applyAlignment="1">
      <alignment horizontal="center"/>
    </xf>
    <xf numFmtId="174" fontId="37" fillId="0" borderId="98" xfId="0" applyNumberFormat="1" applyFont="1" applyBorder="1" applyAlignment="1">
      <alignment horizontal="center"/>
    </xf>
    <xf numFmtId="174" fontId="37" fillId="0" borderId="99" xfId="0" applyNumberFormat="1" applyFont="1" applyBorder="1" applyAlignment="1">
      <alignment horizontal="center"/>
    </xf>
    <xf numFmtId="174" fontId="37" fillId="0" borderId="73" xfId="0" applyNumberFormat="1" applyFont="1" applyBorder="1" applyAlignment="1">
      <alignment horizontal="center"/>
    </xf>
    <xf numFmtId="4" fontId="37" fillId="0" borderId="77" xfId="0" applyNumberFormat="1" applyFont="1" applyBorder="1" applyAlignment="1">
      <alignment horizontal="center"/>
    </xf>
    <xf numFmtId="0" fontId="0" fillId="0" borderId="17" xfId="0" applyFont="1" applyBorder="1" applyAlignment="1">
      <alignment horizontal="left" wrapText="1"/>
    </xf>
    <xf numFmtId="0" fontId="0" fillId="0" borderId="33" xfId="0" applyBorder="1" applyAlignment="1">
      <alignment horizontal="left" wrapText="1"/>
    </xf>
    <xf numFmtId="0" fontId="70" fillId="33" borderId="15" xfId="0" applyFont="1" applyFill="1" applyBorder="1"/>
    <xf numFmtId="0" fontId="28" fillId="0" borderId="46" xfId="0" applyFont="1" applyBorder="1" applyAlignment="1"/>
    <xf numFmtId="166" fontId="28" fillId="0" borderId="47" xfId="0" applyNumberFormat="1" applyFont="1" applyBorder="1" applyAlignment="1">
      <alignment horizontal="center"/>
    </xf>
    <xf numFmtId="2" fontId="28" fillId="0" borderId="65" xfId="0" applyNumberFormat="1" applyFont="1" applyBorder="1" applyAlignment="1">
      <alignment horizontal="center"/>
    </xf>
    <xf numFmtId="2" fontId="0" fillId="0" borderId="0" xfId="0" applyNumberFormat="1" applyFont="1"/>
    <xf numFmtId="0" fontId="47" fillId="33" borderId="28" xfId="0" applyFont="1" applyFill="1" applyBorder="1" applyAlignment="1" applyProtection="1">
      <alignment horizontal="left"/>
      <protection hidden="1"/>
    </xf>
    <xf numFmtId="166" fontId="37" fillId="0" borderId="10" xfId="0" applyNumberFormat="1" applyFont="1" applyFill="1" applyBorder="1" applyAlignment="1">
      <alignment horizontal="center" vertical="center"/>
    </xf>
    <xf numFmtId="166" fontId="37" fillId="0" borderId="11" xfId="0" applyNumberFormat="1" applyFont="1" applyFill="1" applyBorder="1" applyAlignment="1">
      <alignment horizontal="center" vertical="center"/>
    </xf>
    <xf numFmtId="166" fontId="37" fillId="0" borderId="29" xfId="0" applyNumberFormat="1" applyFont="1" applyFill="1" applyBorder="1" applyAlignment="1">
      <alignment horizontal="center" vertical="center"/>
    </xf>
    <xf numFmtId="4" fontId="39" fillId="0" borderId="44" xfId="0" applyNumberFormat="1" applyFont="1" applyFill="1" applyBorder="1" applyAlignment="1">
      <alignment horizontal="center" vertical="center"/>
    </xf>
    <xf numFmtId="174" fontId="39" fillId="0" borderId="29" xfId="0" applyNumberFormat="1" applyFont="1" applyFill="1" applyBorder="1" applyAlignment="1">
      <alignment horizontal="center" vertical="center"/>
    </xf>
    <xf numFmtId="174" fontId="39" fillId="0" borderId="28" xfId="0" applyNumberFormat="1" applyFont="1" applyFill="1" applyBorder="1" applyAlignment="1">
      <alignment horizontal="center" vertical="center"/>
    </xf>
    <xf numFmtId="4" fontId="39" fillId="0" borderId="49" xfId="0" applyNumberFormat="1" applyFont="1" applyFill="1" applyBorder="1" applyAlignment="1">
      <alignment horizontal="center" vertical="center"/>
    </xf>
    <xf numFmtId="167" fontId="39" fillId="0" borderId="44" xfId="0" applyNumberFormat="1" applyFont="1" applyFill="1" applyBorder="1" applyAlignment="1">
      <alignment horizontal="center" vertical="center"/>
    </xf>
    <xf numFmtId="4" fontId="39" fillId="0" borderId="29" xfId="0" applyNumberFormat="1" applyFont="1" applyFill="1" applyBorder="1" applyAlignment="1">
      <alignment horizontal="center" vertical="center"/>
    </xf>
    <xf numFmtId="4" fontId="39" fillId="0" borderId="28" xfId="0" applyNumberFormat="1" applyFont="1" applyFill="1" applyBorder="1" applyAlignment="1">
      <alignment horizontal="center" vertical="center"/>
    </xf>
    <xf numFmtId="167" fontId="39" fillId="0" borderId="49" xfId="0" applyNumberFormat="1" applyFont="1" applyFill="1" applyBorder="1" applyAlignment="1">
      <alignment horizontal="center" vertical="center"/>
    </xf>
    <xf numFmtId="167" fontId="39" fillId="0" borderId="29" xfId="0" applyNumberFormat="1" applyFont="1" applyFill="1" applyBorder="1" applyAlignment="1">
      <alignment horizontal="center" vertical="center"/>
    </xf>
    <xf numFmtId="167" fontId="39" fillId="0" borderId="28" xfId="0" applyNumberFormat="1" applyFont="1" applyFill="1" applyBorder="1" applyAlignment="1">
      <alignment horizontal="center" vertical="center"/>
    </xf>
    <xf numFmtId="0" fontId="0" fillId="0" borderId="54" xfId="0" applyFont="1" applyBorder="1" applyAlignment="1">
      <alignment wrapText="1"/>
    </xf>
    <xf numFmtId="166" fontId="37" fillId="0" borderId="18" xfId="0" applyNumberFormat="1" applyFont="1" applyFill="1" applyBorder="1" applyAlignment="1">
      <alignment horizontal="center" vertical="center"/>
    </xf>
    <xf numFmtId="166" fontId="37" fillId="0" borderId="19" xfId="0" applyNumberFormat="1" applyFont="1" applyFill="1" applyBorder="1" applyAlignment="1">
      <alignment horizontal="center" vertical="center"/>
    </xf>
    <xf numFmtId="166" fontId="37" fillId="0" borderId="27" xfId="0" applyNumberFormat="1" applyFont="1" applyFill="1" applyBorder="1" applyAlignment="1">
      <alignment horizontal="center" vertical="center"/>
    </xf>
    <xf numFmtId="0" fontId="32" fillId="0" borderId="10" xfId="0" applyFont="1" applyBorder="1"/>
    <xf numFmtId="0" fontId="32" fillId="0" borderId="10" xfId="0" applyFont="1" applyBorder="1" applyAlignment="1">
      <alignment horizontal="center" wrapText="1"/>
    </xf>
    <xf numFmtId="0" fontId="32" fillId="0" borderId="10" xfId="0" applyFont="1" applyBorder="1" applyAlignment="1">
      <alignment horizontal="center"/>
    </xf>
    <xf numFmtId="0" fontId="32" fillId="33" borderId="11" xfId="0" applyFont="1" applyFill="1" applyBorder="1" applyAlignment="1">
      <alignment horizontal="left"/>
    </xf>
    <xf numFmtId="0" fontId="32" fillId="33" borderId="16" xfId="0" applyFont="1" applyFill="1" applyBorder="1" applyAlignment="1">
      <alignment horizontal="left"/>
    </xf>
    <xf numFmtId="0" fontId="32" fillId="33" borderId="15" xfId="0" applyFont="1" applyFill="1" applyBorder="1" applyAlignment="1">
      <alignment horizontal="left"/>
    </xf>
    <xf numFmtId="0" fontId="32" fillId="24" borderId="11" xfId="0" applyFont="1" applyFill="1" applyBorder="1" applyAlignment="1">
      <alignment horizontal="left"/>
    </xf>
    <xf numFmtId="0" fontId="32" fillId="24" borderId="16" xfId="0" applyFont="1" applyFill="1" applyBorder="1" applyAlignment="1">
      <alignment horizontal="left"/>
    </xf>
    <xf numFmtId="0" fontId="32" fillId="24" borderId="15" xfId="0" applyFont="1" applyFill="1" applyBorder="1" applyAlignment="1">
      <alignment horizontal="left"/>
    </xf>
    <xf numFmtId="0" fontId="42" fillId="0" borderId="10" xfId="0" applyFont="1" applyBorder="1"/>
    <xf numFmtId="0" fontId="42" fillId="0" borderId="10" xfId="0" applyFont="1" applyBorder="1" applyAlignment="1">
      <alignment horizontal="center" wrapText="1"/>
    </xf>
    <xf numFmtId="0" fontId="42" fillId="0" borderId="10" xfId="0" applyFont="1" applyBorder="1" applyAlignment="1">
      <alignment horizontal="center"/>
    </xf>
    <xf numFmtId="0" fontId="42" fillId="0" borderId="10" xfId="0" applyFont="1" applyBorder="1" applyAlignment="1">
      <alignment wrapText="1"/>
    </xf>
    <xf numFmtId="0" fontId="32" fillId="33" borderId="10" xfId="0" applyFont="1" applyFill="1" applyBorder="1"/>
    <xf numFmtId="0" fontId="42" fillId="33" borderId="10" xfId="0" applyFont="1" applyFill="1" applyBorder="1" applyAlignment="1">
      <alignment wrapText="1"/>
    </xf>
    <xf numFmtId="2" fontId="42" fillId="0" borderId="10" xfId="0" applyNumberFormat="1" applyFont="1" applyBorder="1" applyAlignment="1">
      <alignment horizontal="center"/>
    </xf>
    <xf numFmtId="0" fontId="42" fillId="0" borderId="52" xfId="0" applyFont="1" applyBorder="1" applyAlignment="1">
      <alignment wrapText="1"/>
    </xf>
    <xf numFmtId="2" fontId="42" fillId="0" borderId="52" xfId="0" applyNumberFormat="1" applyFont="1" applyBorder="1" applyAlignment="1">
      <alignment horizontal="center" wrapText="1"/>
    </xf>
    <xf numFmtId="0" fontId="42" fillId="0" borderId="52" xfId="0" applyFont="1" applyBorder="1" applyAlignment="1">
      <alignment horizontal="center"/>
    </xf>
    <xf numFmtId="0" fontId="32" fillId="33" borderId="71" xfId="0" applyFont="1" applyFill="1" applyBorder="1" applyAlignment="1">
      <alignment horizontal="left"/>
    </xf>
    <xf numFmtId="0" fontId="32" fillId="33" borderId="72" xfId="0" applyFont="1" applyFill="1" applyBorder="1" applyAlignment="1">
      <alignment horizontal="left"/>
    </xf>
    <xf numFmtId="0" fontId="32" fillId="33" borderId="65" xfId="0" applyFont="1" applyFill="1" applyBorder="1" applyAlignment="1">
      <alignment horizontal="left"/>
    </xf>
    <xf numFmtId="0" fontId="42" fillId="0" borderId="0" xfId="0" applyFont="1" applyAlignment="1">
      <alignment horizontal="left" vertical="center" wrapText="1"/>
    </xf>
    <xf numFmtId="0" fontId="0" fillId="0" borderId="10" xfId="0" applyFont="1" applyBorder="1" applyAlignment="1">
      <alignment horizontal="center"/>
    </xf>
    <xf numFmtId="166" fontId="0" fillId="0" borderId="92" xfId="0" applyNumberFormat="1" applyFont="1" applyBorder="1" applyAlignment="1">
      <alignment horizontal="center"/>
    </xf>
    <xf numFmtId="166" fontId="0" fillId="0" borderId="10" xfId="0" applyNumberFormat="1" applyFont="1" applyBorder="1" applyAlignment="1">
      <alignment horizontal="center"/>
    </xf>
    <xf numFmtId="1" fontId="0" fillId="0" borderId="10" xfId="0" applyNumberFormat="1" applyFont="1" applyBorder="1" applyAlignment="1">
      <alignment horizontal="center"/>
    </xf>
    <xf numFmtId="0" fontId="129" fillId="0" borderId="0" xfId="34"/>
    <xf numFmtId="0" fontId="23" fillId="0" borderId="0" xfId="34" applyFont="1" applyFill="1" applyBorder="1" applyAlignment="1" applyProtection="1">
      <protection locked="0"/>
    </xf>
    <xf numFmtId="0" fontId="38" fillId="0" borderId="0" xfId="34" applyFont="1" applyBorder="1" applyAlignment="1">
      <alignment vertical="center"/>
    </xf>
    <xf numFmtId="0" fontId="38" fillId="0" borderId="0" xfId="34" applyFont="1" applyBorder="1" applyAlignment="1">
      <alignment vertical="center" wrapText="1"/>
    </xf>
    <xf numFmtId="0" fontId="0" fillId="9" borderId="94" xfId="0" applyFont="1" applyFill="1" applyBorder="1" applyAlignment="1">
      <alignment horizontal="center" vertical="center"/>
    </xf>
    <xf numFmtId="0" fontId="0" fillId="9" borderId="34" xfId="0" applyFont="1" applyFill="1" applyBorder="1" applyAlignment="1">
      <alignment horizontal="center" vertical="center"/>
    </xf>
    <xf numFmtId="0" fontId="0" fillId="9" borderId="35" xfId="0" applyFont="1" applyFill="1" applyBorder="1" applyAlignment="1">
      <alignment horizontal="center" vertical="center"/>
    </xf>
    <xf numFmtId="0" fontId="56" fillId="24" borderId="10" xfId="0" applyFont="1" applyFill="1" applyBorder="1" applyAlignment="1">
      <alignment horizontal="center" vertical="center" shrinkToFit="1"/>
    </xf>
    <xf numFmtId="3" fontId="56" fillId="16" borderId="10" xfId="0" applyNumberFormat="1" applyFont="1" applyFill="1" applyBorder="1" applyAlignment="1" applyProtection="1">
      <alignment horizontal="center" vertical="center" shrinkToFit="1"/>
    </xf>
    <xf numFmtId="4" fontId="56" fillId="16" borderId="10" xfId="0" applyNumberFormat="1" applyFont="1" applyFill="1" applyBorder="1" applyAlignment="1" applyProtection="1">
      <alignment horizontal="center" vertical="center" shrinkToFit="1"/>
    </xf>
    <xf numFmtId="1" fontId="39" fillId="23" borderId="46" xfId="0" applyNumberFormat="1" applyFont="1" applyFill="1" applyBorder="1" applyAlignment="1" applyProtection="1">
      <alignment horizontal="center" vertical="center" wrapText="1"/>
    </xf>
    <xf numFmtId="1" fontId="39" fillId="23" borderId="46" xfId="0" applyNumberFormat="1" applyFont="1" applyFill="1" applyBorder="1" applyAlignment="1" applyProtection="1">
      <alignment horizontal="center" vertical="center"/>
    </xf>
    <xf numFmtId="1" fontId="39" fillId="23" borderId="10" xfId="0" applyNumberFormat="1" applyFont="1" applyFill="1" applyBorder="1" applyAlignment="1" applyProtection="1">
      <alignment horizontal="center" vertical="center"/>
    </xf>
    <xf numFmtId="1" fontId="39" fillId="19" borderId="46" xfId="0" applyNumberFormat="1" applyFont="1" applyFill="1" applyBorder="1" applyAlignment="1" applyProtection="1">
      <alignment horizontal="center" vertical="center" wrapText="1"/>
    </xf>
    <xf numFmtId="1" fontId="39" fillId="19" borderId="46" xfId="0" applyNumberFormat="1" applyFont="1" applyFill="1" applyBorder="1" applyAlignment="1" applyProtection="1">
      <alignment horizontal="center" vertical="center"/>
    </xf>
    <xf numFmtId="4" fontId="56" fillId="10" borderId="60" xfId="0" applyNumberFormat="1" applyFont="1" applyFill="1" applyBorder="1" applyAlignment="1" applyProtection="1">
      <alignment horizontal="center" vertical="center" shrinkToFit="1"/>
      <protection locked="0"/>
    </xf>
    <xf numFmtId="0" fontId="39" fillId="28" borderId="10" xfId="0" applyFont="1" applyFill="1" applyBorder="1" applyAlignment="1">
      <alignment horizontal="center" vertical="center" shrinkToFit="1"/>
    </xf>
    <xf numFmtId="167" fontId="37" fillId="28" borderId="52" xfId="0" applyNumberFormat="1" applyFont="1" applyFill="1" applyBorder="1" applyAlignment="1" applyProtection="1">
      <alignment horizontal="center" shrinkToFit="1"/>
    </xf>
    <xf numFmtId="0" fontId="29" fillId="24" borderId="16" xfId="0" applyFont="1" applyFill="1" applyBorder="1" applyAlignment="1">
      <alignment horizontal="right" vertical="center"/>
    </xf>
    <xf numFmtId="0" fontId="33" fillId="23" borderId="10" xfId="0" applyFont="1" applyFill="1" applyBorder="1" applyAlignment="1">
      <alignment horizontal="center" vertical="center" wrapText="1"/>
    </xf>
    <xf numFmtId="0" fontId="15" fillId="23" borderId="10" xfId="0" applyFont="1" applyFill="1" applyBorder="1" applyAlignment="1">
      <alignment horizontal="center" vertical="center"/>
    </xf>
    <xf numFmtId="0" fontId="0" fillId="23" borderId="63" xfId="0" applyFont="1" applyFill="1" applyBorder="1" applyAlignment="1">
      <alignment horizontal="center" vertical="center" wrapText="1"/>
    </xf>
    <xf numFmtId="0" fontId="15" fillId="29" borderId="10" xfId="0" applyFont="1" applyFill="1" applyBorder="1" applyAlignment="1">
      <alignment horizontal="center" vertical="center"/>
    </xf>
    <xf numFmtId="0" fontId="73"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41" fillId="29" borderId="15" xfId="0" applyFont="1" applyFill="1" applyBorder="1" applyAlignment="1">
      <alignment horizontal="right" vertical="center"/>
    </xf>
    <xf numFmtId="0" fontId="28" fillId="29" borderId="15" xfId="0" applyFont="1" applyFill="1" applyBorder="1" applyAlignment="1">
      <alignment horizontal="right" vertical="center"/>
    </xf>
    <xf numFmtId="1" fontId="28" fillId="29" borderId="11" xfId="0" applyNumberFormat="1" applyFont="1" applyFill="1" applyBorder="1" applyAlignment="1" applyProtection="1">
      <alignment vertical="center"/>
    </xf>
    <xf numFmtId="1" fontId="28" fillId="29" borderId="15" xfId="0" applyNumberFormat="1" applyFont="1" applyFill="1" applyBorder="1" applyAlignment="1" applyProtection="1">
      <alignment vertical="center"/>
    </xf>
    <xf numFmtId="4" fontId="39" fillId="10" borderId="15" xfId="34" applyNumberFormat="1" applyFont="1" applyFill="1" applyBorder="1" applyAlignment="1" applyProtection="1">
      <alignment horizontal="center" vertical="center"/>
      <protection locked="0"/>
    </xf>
    <xf numFmtId="4" fontId="39" fillId="10" borderId="63" xfId="34" applyNumberFormat="1" applyFont="1" applyFill="1" applyBorder="1" applyAlignment="1" applyProtection="1">
      <alignment horizontal="center" vertical="center"/>
      <protection locked="0"/>
    </xf>
    <xf numFmtId="4" fontId="39" fillId="10" borderId="60" xfId="34" applyNumberFormat="1" applyFont="1" applyFill="1" applyBorder="1" applyAlignment="1" applyProtection="1">
      <alignment horizontal="center" vertical="center"/>
      <protection locked="0"/>
    </xf>
    <xf numFmtId="4" fontId="37" fillId="9" borderId="10" xfId="34" applyNumberFormat="1" applyFont="1" applyFill="1" applyBorder="1" applyAlignment="1">
      <alignment horizontal="center" vertical="center"/>
    </xf>
    <xf numFmtId="0" fontId="38" fillId="16" borderId="0" xfId="34" applyFont="1" applyFill="1" applyProtection="1">
      <protection locked="0"/>
    </xf>
    <xf numFmtId="0" fontId="38" fillId="10" borderId="10" xfId="34" applyFont="1" applyFill="1" applyBorder="1" applyAlignment="1" applyProtection="1">
      <alignment horizontal="left" vertical="center"/>
      <protection locked="0"/>
    </xf>
    <xf numFmtId="0" fontId="38" fillId="10" borderId="52" xfId="34" applyFont="1" applyFill="1" applyBorder="1" applyAlignment="1" applyProtection="1">
      <alignment horizontal="left" vertical="center"/>
      <protection locked="0"/>
    </xf>
    <xf numFmtId="0" fontId="47" fillId="10" borderId="10" xfId="34" applyNumberFormat="1" applyFont="1" applyFill="1" applyBorder="1" applyAlignment="1" applyProtection="1">
      <alignment horizontal="center" vertical="center"/>
      <protection locked="0"/>
    </xf>
    <xf numFmtId="167" fontId="39" fillId="10" borderId="10" xfId="0" applyNumberFormat="1" applyFont="1" applyFill="1" applyBorder="1" applyAlignment="1" applyProtection="1">
      <alignment horizontal="center" vertical="center" shrinkToFit="1"/>
      <protection locked="0"/>
    </xf>
    <xf numFmtId="3" fontId="39" fillId="10" borderId="10" xfId="0" applyNumberFormat="1" applyFont="1" applyFill="1" applyBorder="1" applyAlignment="1" applyProtection="1">
      <alignment horizontal="center" vertical="center" shrinkToFit="1"/>
      <protection locked="0"/>
    </xf>
    <xf numFmtId="167" fontId="39" fillId="16" borderId="10" xfId="0" applyNumberFormat="1" applyFont="1" applyFill="1" applyBorder="1" applyAlignment="1" applyProtection="1">
      <alignment horizontal="center" vertical="center" shrinkToFit="1"/>
      <protection hidden="1"/>
    </xf>
    <xf numFmtId="166" fontId="39" fillId="16" borderId="10" xfId="0" applyNumberFormat="1" applyFont="1" applyFill="1" applyBorder="1" applyAlignment="1" applyProtection="1">
      <alignment horizontal="center" vertical="center" shrinkToFit="1"/>
      <protection hidden="1"/>
    </xf>
    <xf numFmtId="167" fontId="27" fillId="24" borderId="10" xfId="0" applyNumberFormat="1" applyFont="1" applyFill="1" applyBorder="1" applyAlignment="1" applyProtection="1">
      <alignment horizontal="center" vertical="center" shrinkToFit="1"/>
    </xf>
    <xf numFmtId="166" fontId="27" fillId="24" borderId="10" xfId="0" applyNumberFormat="1" applyFont="1" applyFill="1" applyBorder="1" applyAlignment="1" applyProtection="1">
      <alignment horizontal="center" vertical="center" shrinkToFit="1"/>
    </xf>
    <xf numFmtId="1" fontId="39" fillId="0" borderId="46" xfId="0" applyNumberFormat="1" applyFont="1" applyFill="1" applyBorder="1" applyAlignment="1" applyProtection="1">
      <alignment horizontal="center" vertical="center" wrapText="1"/>
    </xf>
    <xf numFmtId="0" fontId="41" fillId="24" borderId="103" xfId="34" applyFont="1" applyFill="1" applyBorder="1" applyAlignment="1" applyProtection="1">
      <alignment horizontal="center" vertical="center" wrapText="1"/>
    </xf>
    <xf numFmtId="4" fontId="38" fillId="10" borderId="15" xfId="34" applyNumberFormat="1" applyFont="1" applyFill="1" applyBorder="1" applyAlignment="1" applyProtection="1">
      <alignment horizontal="center" vertical="center" shrinkToFit="1"/>
      <protection locked="0"/>
    </xf>
    <xf numFmtId="166" fontId="38" fillId="10" borderId="15" xfId="34" applyNumberFormat="1" applyFont="1" applyFill="1" applyBorder="1" applyAlignment="1" applyProtection="1">
      <alignment horizontal="center" vertical="center" shrinkToFit="1"/>
      <protection locked="0"/>
    </xf>
    <xf numFmtId="167" fontId="38" fillId="0" borderId="65" xfId="34" applyNumberFormat="1" applyFont="1" applyFill="1" applyBorder="1" applyAlignment="1" applyProtection="1">
      <alignment horizontal="center" vertical="center" shrinkToFit="1"/>
    </xf>
    <xf numFmtId="171" fontId="38" fillId="10" borderId="46" xfId="34" applyNumberFormat="1" applyFont="1" applyFill="1" applyBorder="1" applyAlignment="1" applyProtection="1">
      <alignment horizontal="center" vertical="center" shrinkToFit="1"/>
      <protection locked="0"/>
    </xf>
    <xf numFmtId="0" fontId="27" fillId="24" borderId="65" xfId="34" applyFont="1" applyFill="1" applyBorder="1" applyAlignment="1" applyProtection="1">
      <alignment horizontal="right" vertical="center"/>
    </xf>
    <xf numFmtId="0" fontId="28" fillId="24" borderId="104" xfId="34" applyFont="1" applyFill="1" applyBorder="1" applyAlignment="1" applyProtection="1">
      <alignment horizontal="center" vertical="center" wrapText="1"/>
    </xf>
    <xf numFmtId="0" fontId="28" fillId="24" borderId="105" xfId="34" applyFont="1" applyFill="1" applyBorder="1" applyAlignment="1" applyProtection="1">
      <alignment horizontal="center" vertical="center" wrapText="1"/>
    </xf>
    <xf numFmtId="0" fontId="27" fillId="24" borderId="105" xfId="34" applyFont="1" applyFill="1" applyBorder="1" applyAlignment="1" applyProtection="1">
      <alignment horizontal="center" vertical="center" wrapText="1"/>
    </xf>
    <xf numFmtId="0" fontId="41" fillId="24" borderId="105" xfId="34" applyFont="1" applyFill="1" applyBorder="1" applyAlignment="1" applyProtection="1">
      <alignment horizontal="center" vertical="center" wrapText="1"/>
    </xf>
    <xf numFmtId="0" fontId="28" fillId="24" borderId="106" xfId="34" applyFont="1" applyFill="1" applyBorder="1" applyAlignment="1" applyProtection="1">
      <alignment horizontal="center" vertical="center" wrapText="1"/>
    </xf>
    <xf numFmtId="16" fontId="38" fillId="10" borderId="107" xfId="34" applyNumberFormat="1" applyFont="1" applyFill="1" applyBorder="1" applyAlignment="1" applyProtection="1">
      <alignment horizontal="center" vertical="center" wrapText="1"/>
      <protection locked="0"/>
    </xf>
    <xf numFmtId="166" fontId="38" fillId="10" borderId="108" xfId="34" applyNumberFormat="1" applyFont="1" applyFill="1" applyBorder="1" applyAlignment="1" applyProtection="1">
      <alignment horizontal="center" vertical="center" wrapText="1"/>
      <protection locked="0"/>
    </xf>
    <xf numFmtId="166" fontId="38" fillId="10" borderId="109" xfId="34" applyNumberFormat="1" applyFont="1" applyFill="1" applyBorder="1" applyAlignment="1" applyProtection="1">
      <alignment horizontal="center" vertical="center" wrapText="1"/>
      <protection locked="0"/>
    </xf>
    <xf numFmtId="16" fontId="38" fillId="10" borderId="110" xfId="34" applyNumberFormat="1" applyFont="1" applyFill="1" applyBorder="1" applyAlignment="1" applyProtection="1">
      <alignment horizontal="center" vertical="center" wrapText="1"/>
      <protection locked="0"/>
    </xf>
    <xf numFmtId="16" fontId="38" fillId="10" borderId="111" xfId="34" applyNumberFormat="1" applyFont="1" applyFill="1" applyBorder="1" applyAlignment="1" applyProtection="1">
      <alignment horizontal="center" vertical="center" wrapText="1"/>
      <protection locked="0"/>
    </xf>
    <xf numFmtId="0" fontId="38" fillId="10" borderId="112" xfId="34" applyFont="1" applyFill="1" applyBorder="1" applyAlignment="1" applyProtection="1">
      <alignment horizontal="center" vertical="center" wrapText="1"/>
      <protection locked="0"/>
    </xf>
    <xf numFmtId="0" fontId="38" fillId="36" borderId="111" xfId="34" applyFont="1" applyFill="1" applyBorder="1" applyAlignment="1" applyProtection="1">
      <alignment horizontal="center" vertical="center" wrapText="1"/>
    </xf>
    <xf numFmtId="4" fontId="38" fillId="10" borderId="112" xfId="34" applyNumberFormat="1" applyFont="1" applyFill="1" applyBorder="1" applyAlignment="1" applyProtection="1">
      <alignment horizontal="center" vertical="center" wrapText="1"/>
      <protection locked="0"/>
    </xf>
    <xf numFmtId="166" fontId="38" fillId="10" borderId="113" xfId="34" applyNumberFormat="1" applyFont="1" applyFill="1" applyBorder="1" applyAlignment="1" applyProtection="1">
      <alignment horizontal="center" vertical="center" wrapText="1"/>
      <protection locked="0"/>
    </xf>
    <xf numFmtId="0" fontId="37" fillId="16" borderId="46" xfId="34" applyFont="1" applyFill="1" applyBorder="1" applyAlignment="1" applyProtection="1">
      <alignment horizontal="center" vertical="center"/>
    </xf>
    <xf numFmtId="14" fontId="47" fillId="10" borderId="119" xfId="34" applyNumberFormat="1" applyFont="1" applyFill="1" applyBorder="1" applyAlignment="1" applyProtection="1">
      <alignment vertical="center"/>
      <protection locked="0" hidden="1"/>
    </xf>
    <xf numFmtId="174" fontId="0" fillId="33" borderId="44" xfId="0" applyNumberFormat="1" applyFont="1" applyFill="1" applyBorder="1" applyAlignment="1">
      <alignment horizontal="left" vertical="center"/>
    </xf>
    <xf numFmtId="174" fontId="0" fillId="33" borderId="49" xfId="0" applyNumberFormat="1" applyFont="1" applyFill="1" applyBorder="1" applyAlignment="1">
      <alignment horizontal="right" vertical="center"/>
    </xf>
    <xf numFmtId="0" fontId="59" fillId="40" borderId="103" xfId="25" applyNumberFormat="1" applyFont="1" applyFill="1" applyBorder="1" applyAlignment="1" applyProtection="1">
      <alignment horizontal="center" vertical="center"/>
    </xf>
    <xf numFmtId="0" fontId="130" fillId="19" borderId="10" xfId="0" applyFont="1" applyFill="1" applyBorder="1" applyAlignment="1">
      <alignment horizontal="center" vertical="center" wrapText="1"/>
    </xf>
    <xf numFmtId="0" fontId="130" fillId="19" borderId="10" xfId="0" applyFont="1" applyFill="1" applyBorder="1" applyAlignment="1">
      <alignment horizontal="center" vertical="center"/>
    </xf>
    <xf numFmtId="0" fontId="130" fillId="19" borderId="11" xfId="0" applyFont="1" applyFill="1" applyBorder="1" applyAlignment="1">
      <alignment vertical="center"/>
    </xf>
    <xf numFmtId="0" fontId="130" fillId="19" borderId="16" xfId="0" applyFont="1" applyFill="1" applyBorder="1" applyAlignment="1">
      <alignment vertical="center"/>
    </xf>
    <xf numFmtId="0" fontId="130" fillId="19" borderId="46" xfId="0" applyFont="1" applyFill="1" applyBorder="1" applyAlignment="1">
      <alignment horizontal="center" vertical="center"/>
    </xf>
    <xf numFmtId="0" fontId="0" fillId="39" borderId="0" xfId="0" applyFill="1"/>
    <xf numFmtId="0" fontId="137" fillId="39" borderId="0" xfId="0" applyFont="1" applyFill="1"/>
    <xf numFmtId="0" fontId="62" fillId="43" borderId="0" xfId="0" applyFont="1" applyFill="1" applyBorder="1" applyAlignment="1">
      <alignment vertical="center"/>
    </xf>
    <xf numFmtId="0" fontId="140" fillId="43" borderId="0" xfId="0" applyFont="1" applyFill="1" applyBorder="1" applyAlignment="1">
      <alignment vertical="center"/>
    </xf>
    <xf numFmtId="0" fontId="141" fillId="39" borderId="0" xfId="0" applyFont="1" applyFill="1" applyBorder="1" applyAlignment="1"/>
    <xf numFmtId="0" fontId="142" fillId="39" borderId="120" xfId="0" applyFont="1" applyFill="1" applyBorder="1" applyAlignment="1">
      <alignment vertical="top"/>
    </xf>
    <xf numFmtId="0" fontId="142" fillId="39" borderId="121" xfId="0" applyFont="1" applyFill="1" applyBorder="1" applyAlignment="1">
      <alignment vertical="top"/>
    </xf>
    <xf numFmtId="0" fontId="0" fillId="0" borderId="122" xfId="0" applyBorder="1" applyAlignment="1">
      <alignment horizontal="right"/>
    </xf>
    <xf numFmtId="0" fontId="142" fillId="39" borderId="123" xfId="0" applyFont="1" applyFill="1" applyBorder="1" applyAlignment="1">
      <alignment vertical="top"/>
    </xf>
    <xf numFmtId="0" fontId="27" fillId="45" borderId="0" xfId="0" applyFont="1" applyFill="1" applyAlignment="1">
      <alignment horizontal="right"/>
    </xf>
    <xf numFmtId="168" fontId="120" fillId="45" borderId="103" xfId="29" applyNumberFormat="1" applyFont="1" applyFill="1" applyBorder="1" applyAlignment="1">
      <alignment horizontal="center"/>
    </xf>
    <xf numFmtId="0" fontId="0" fillId="39" borderId="103" xfId="0" applyFill="1" applyBorder="1"/>
    <xf numFmtId="0" fontId="37" fillId="39" borderId="103" xfId="0" applyFont="1" applyFill="1" applyBorder="1" applyAlignment="1">
      <alignment horizontal="right" vertical="center" indent="1"/>
    </xf>
    <xf numFmtId="0" fontId="47" fillId="39" borderId="100" xfId="0" applyFont="1" applyFill="1" applyBorder="1" applyAlignment="1">
      <alignment vertical="center"/>
    </xf>
    <xf numFmtId="0" fontId="37" fillId="39" borderId="101" xfId="0" applyFont="1" applyFill="1" applyBorder="1" applyAlignment="1">
      <alignment vertical="center" shrinkToFit="1"/>
    </xf>
    <xf numFmtId="0" fontId="0" fillId="39" borderId="101" xfId="0" applyFill="1" applyBorder="1"/>
    <xf numFmtId="0" fontId="0" fillId="39" borderId="102" xfId="0" applyFill="1" applyBorder="1"/>
    <xf numFmtId="0" fontId="0" fillId="39" borderId="100" xfId="0" applyFill="1" applyBorder="1"/>
    <xf numFmtId="0" fontId="143" fillId="39" borderId="101" xfId="0" applyFont="1" applyFill="1" applyBorder="1" applyAlignment="1">
      <alignment vertical="top"/>
    </xf>
    <xf numFmtId="0" fontId="37" fillId="39" borderId="102" xfId="0" applyFont="1" applyFill="1" applyBorder="1" applyAlignment="1">
      <alignment horizontal="right" vertical="center"/>
    </xf>
    <xf numFmtId="0" fontId="143" fillId="39" borderId="0" xfId="0" applyFont="1" applyFill="1" applyBorder="1" applyAlignment="1">
      <alignment vertical="top"/>
    </xf>
    <xf numFmtId="0" fontId="38" fillId="39" borderId="0" xfId="0" applyFont="1" applyFill="1" applyAlignment="1">
      <alignment vertical="center"/>
    </xf>
    <xf numFmtId="0" fontId="0" fillId="0" borderId="103" xfId="0" applyBorder="1" applyAlignment="1">
      <alignment horizontal="right"/>
    </xf>
    <xf numFmtId="0" fontId="0" fillId="0" borderId="0" xfId="0" applyAlignment="1">
      <alignment horizontal="right" vertical="center"/>
    </xf>
    <xf numFmtId="4" fontId="0" fillId="0" borderId="103" xfId="0" applyNumberFormat="1" applyBorder="1" applyAlignment="1">
      <alignment horizontal="center" vertical="center"/>
    </xf>
    <xf numFmtId="0" fontId="0" fillId="39" borderId="124" xfId="0" applyFill="1" applyBorder="1"/>
    <xf numFmtId="0" fontId="47" fillId="39" borderId="125" xfId="0" applyFont="1" applyFill="1" applyBorder="1" applyAlignment="1">
      <alignment vertical="center" shrinkToFit="1"/>
    </xf>
    <xf numFmtId="0" fontId="47" fillId="39" borderId="126" xfId="0" applyFont="1" applyFill="1" applyBorder="1" applyAlignment="1">
      <alignment horizontal="right" vertical="center" indent="1"/>
    </xf>
    <xf numFmtId="2" fontId="47" fillId="46" borderId="126" xfId="0" applyNumberFormat="1" applyFont="1" applyFill="1" applyBorder="1" applyAlignment="1" applyProtection="1">
      <alignment horizontal="center" vertical="center"/>
    </xf>
    <xf numFmtId="0" fontId="144" fillId="39" borderId="0" xfId="0" applyFont="1" applyFill="1" applyBorder="1" applyAlignment="1">
      <alignment vertical="center"/>
    </xf>
    <xf numFmtId="0" fontId="145" fillId="39" borderId="0" xfId="0" applyFont="1" applyFill="1" applyAlignment="1">
      <alignment vertical="top" wrapText="1"/>
    </xf>
    <xf numFmtId="0" fontId="145" fillId="39" borderId="0" xfId="0" applyFont="1" applyFill="1" applyBorder="1" applyAlignment="1">
      <alignment vertical="top"/>
    </xf>
    <xf numFmtId="2" fontId="0" fillId="0" borderId="126" xfId="0" applyNumberFormat="1" applyBorder="1" applyAlignment="1">
      <alignment horizontal="center" vertical="center"/>
    </xf>
    <xf numFmtId="0" fontId="0" fillId="39" borderId="121" xfId="0" applyFill="1" applyBorder="1"/>
    <xf numFmtId="0" fontId="27" fillId="45" borderId="0" xfId="0" applyFont="1" applyFill="1" applyAlignment="1">
      <alignment horizontal="right" vertical="center"/>
    </xf>
    <xf numFmtId="0" fontId="27" fillId="45" borderId="0" xfId="0" applyFont="1" applyFill="1" applyAlignment="1">
      <alignment horizontal="right" vertical="top"/>
    </xf>
    <xf numFmtId="166" fontId="27" fillId="45" borderId="126" xfId="0" applyNumberFormat="1" applyFont="1" applyFill="1" applyBorder="1" applyAlignment="1">
      <alignment horizontal="center" vertical="center"/>
    </xf>
    <xf numFmtId="0" fontId="0" fillId="39" borderId="126" xfId="0" applyFill="1" applyBorder="1" applyAlignment="1">
      <alignment horizontal="center" vertical="center" wrapText="1"/>
    </xf>
    <xf numFmtId="0" fontId="33" fillId="39" borderId="126" xfId="0" applyFont="1" applyFill="1" applyBorder="1" applyAlignment="1">
      <alignment horizontal="center" vertical="center" wrapText="1"/>
    </xf>
    <xf numFmtId="0" fontId="27" fillId="0" borderId="134" xfId="0" applyFont="1" applyBorder="1" applyAlignment="1">
      <alignment horizontal="center" vertical="center"/>
    </xf>
    <xf numFmtId="0" fontId="0" fillId="39" borderId="122" xfId="0" applyFill="1" applyBorder="1" applyAlignment="1">
      <alignment horizontal="center" vertical="center" wrapText="1"/>
    </xf>
    <xf numFmtId="0" fontId="0" fillId="0" borderId="136" xfId="0" applyBorder="1" applyAlignment="1">
      <alignment horizontal="center" vertical="center" wrapText="1"/>
    </xf>
    <xf numFmtId="0" fontId="0" fillId="39" borderId="0" xfId="0" applyFill="1" applyBorder="1" applyAlignment="1">
      <alignment vertical="center" wrapText="1"/>
    </xf>
    <xf numFmtId="0" fontId="148" fillId="0" borderId="0" xfId="0" applyFont="1"/>
    <xf numFmtId="0" fontId="26" fillId="39" borderId="143" xfId="0" applyFont="1" applyFill="1" applyBorder="1" applyAlignment="1"/>
    <xf numFmtId="0" fontId="38" fillId="39" borderId="0" xfId="0" applyFont="1" applyFill="1" applyBorder="1" applyAlignment="1">
      <alignment horizontal="center" vertical="top" wrapText="1"/>
    </xf>
    <xf numFmtId="0" fontId="38" fillId="39" borderId="144" xfId="0" applyFont="1" applyFill="1" applyBorder="1" applyAlignment="1">
      <alignment horizontal="right"/>
    </xf>
    <xf numFmtId="0" fontId="38" fillId="39" borderId="143" xfId="0" applyFont="1" applyFill="1" applyBorder="1" applyAlignment="1"/>
    <xf numFmtId="0" fontId="38" fillId="39" borderId="0" xfId="0" applyFont="1" applyFill="1" applyBorder="1" applyAlignment="1">
      <alignment wrapText="1"/>
    </xf>
    <xf numFmtId="0" fontId="0" fillId="39" borderId="0" xfId="0" applyFill="1" applyBorder="1" applyAlignment="1">
      <alignment horizontal="center" vertical="center" wrapText="1"/>
    </xf>
    <xf numFmtId="0" fontId="27" fillId="0" borderId="145" xfId="0" applyFont="1" applyBorder="1" applyAlignment="1">
      <alignment horizontal="center" vertical="center"/>
    </xf>
    <xf numFmtId="0" fontId="38" fillId="39" borderId="149" xfId="0" applyFont="1" applyFill="1" applyBorder="1" applyAlignment="1">
      <alignment horizontal="right" vertical="center"/>
    </xf>
    <xf numFmtId="0" fontId="0" fillId="46" borderId="126" xfId="0" applyFill="1" applyBorder="1" applyAlignment="1">
      <alignment horizontal="center" vertical="center"/>
    </xf>
    <xf numFmtId="14" fontId="0" fillId="39" borderId="0" xfId="0" applyNumberFormat="1" applyFill="1" applyBorder="1" applyAlignment="1">
      <alignment horizontal="center" vertical="center"/>
    </xf>
    <xf numFmtId="0" fontId="0" fillId="39" borderId="126" xfId="0" applyFill="1" applyBorder="1" applyAlignment="1">
      <alignment horizontal="center" vertical="center"/>
    </xf>
    <xf numFmtId="0" fontId="0" fillId="0" borderId="157" xfId="0" applyBorder="1"/>
    <xf numFmtId="0" fontId="0" fillId="39" borderId="158" xfId="0" applyFill="1" applyBorder="1" applyAlignment="1">
      <alignment horizontal="center" vertical="center"/>
    </xf>
    <xf numFmtId="0" fontId="0" fillId="39" borderId="159" xfId="0" applyFill="1" applyBorder="1" applyAlignment="1">
      <alignment horizontal="center" vertical="center"/>
    </xf>
    <xf numFmtId="0" fontId="0" fillId="39" borderId="160" xfId="0" applyFill="1" applyBorder="1" applyAlignment="1">
      <alignment horizontal="center" vertical="center"/>
    </xf>
    <xf numFmtId="0" fontId="0" fillId="39" borderId="155" xfId="0" applyFill="1" applyBorder="1" applyAlignment="1">
      <alignment horizontal="center" vertical="center"/>
    </xf>
    <xf numFmtId="0" fontId="0" fillId="39" borderId="0" xfId="0" applyFill="1" applyBorder="1" applyAlignment="1">
      <alignment horizontal="center" vertical="center"/>
    </xf>
    <xf numFmtId="0" fontId="0" fillId="39" borderId="126" xfId="0" applyFill="1" applyBorder="1" applyAlignment="1">
      <alignment vertical="center"/>
    </xf>
    <xf numFmtId="0" fontId="28" fillId="39" borderId="126" xfId="0" applyFont="1" applyFill="1" applyBorder="1" applyAlignment="1">
      <alignment vertical="center"/>
    </xf>
    <xf numFmtId="0" fontId="0" fillId="48" borderId="126" xfId="0" applyFill="1" applyBorder="1" applyAlignment="1" applyProtection="1">
      <alignment horizontal="center" vertical="center"/>
      <protection locked="0"/>
    </xf>
    <xf numFmtId="0" fontId="0" fillId="48" borderId="127" xfId="0" applyFill="1" applyBorder="1" applyAlignment="1" applyProtection="1">
      <alignment horizontal="center" vertical="center" wrapText="1"/>
      <protection locked="0"/>
    </xf>
    <xf numFmtId="1" fontId="0" fillId="46" borderId="122" xfId="0" applyNumberFormat="1" applyFill="1" applyBorder="1" applyAlignment="1">
      <alignment horizontal="center" vertical="center"/>
    </xf>
    <xf numFmtId="0" fontId="148" fillId="0" borderId="126" xfId="0" applyFont="1" applyBorder="1" applyAlignment="1">
      <alignment horizontal="center" vertical="center"/>
    </xf>
    <xf numFmtId="1" fontId="0" fillId="0" borderId="126" xfId="0" applyNumberFormat="1" applyBorder="1" applyAlignment="1">
      <alignment horizontal="center" vertical="center"/>
    </xf>
    <xf numFmtId="1" fontId="28" fillId="0" borderId="157" xfId="0" applyNumberFormat="1" applyFont="1" applyBorder="1" applyAlignment="1">
      <alignment horizontal="center" vertical="center"/>
    </xf>
    <xf numFmtId="0" fontId="0" fillId="0" borderId="126" xfId="0" applyBorder="1" applyAlignment="1">
      <alignment horizontal="center" vertical="center"/>
    </xf>
    <xf numFmtId="168" fontId="12" fillId="0" borderId="0" xfId="29" applyNumberFormat="1" applyBorder="1" applyAlignment="1">
      <alignment horizontal="center" vertical="center"/>
    </xf>
    <xf numFmtId="1" fontId="0" fillId="0" borderId="156" xfId="0" applyNumberFormat="1" applyBorder="1" applyAlignment="1">
      <alignment horizontal="center" vertical="center"/>
    </xf>
    <xf numFmtId="1" fontId="0" fillId="0" borderId="155" xfId="0" applyNumberFormat="1" applyBorder="1" applyAlignment="1">
      <alignment horizontal="center" vertical="center"/>
    </xf>
    <xf numFmtId="0" fontId="0" fillId="0" borderId="156" xfId="0" applyBorder="1" applyAlignment="1">
      <alignment horizontal="center" vertical="center"/>
    </xf>
    <xf numFmtId="0" fontId="28" fillId="0" borderId="155" xfId="0" applyFont="1" applyBorder="1" applyAlignment="1">
      <alignment horizontal="center" vertical="center"/>
    </xf>
    <xf numFmtId="1" fontId="28" fillId="0" borderId="155" xfId="0" applyNumberFormat="1" applyFont="1" applyBorder="1" applyAlignment="1">
      <alignment horizontal="center" vertical="center"/>
    </xf>
    <xf numFmtId="0" fontId="0" fillId="0" borderId="0" xfId="0" applyAlignment="1">
      <alignment vertical="center" wrapText="1"/>
    </xf>
    <xf numFmtId="0" fontId="119" fillId="44" borderId="100" xfId="25" applyNumberFormat="1" applyFont="1" applyFill="1" applyBorder="1" applyAlignment="1" applyProtection="1">
      <alignment horizontal="center" vertical="center"/>
    </xf>
    <xf numFmtId="0" fontId="150" fillId="24" borderId="16" xfId="0" applyFont="1" applyFill="1" applyBorder="1" applyAlignment="1">
      <alignment vertical="top"/>
    </xf>
    <xf numFmtId="0" fontId="152" fillId="24" borderId="15" xfId="0" applyFont="1" applyFill="1" applyBorder="1" applyAlignment="1">
      <alignment horizontal="right" vertical="center" indent="1"/>
    </xf>
    <xf numFmtId="0" fontId="152" fillId="23" borderId="112" xfId="0" applyFont="1" applyFill="1" applyBorder="1" applyAlignment="1">
      <alignment horizontal="right" vertical="center" indent="1"/>
    </xf>
    <xf numFmtId="3" fontId="47" fillId="16" borderId="10" xfId="0" applyNumberFormat="1" applyFont="1" applyFill="1" applyBorder="1" applyAlignment="1" applyProtection="1">
      <alignment horizontal="center" vertical="center" shrinkToFit="1"/>
    </xf>
    <xf numFmtId="0" fontId="86" fillId="14" borderId="0" xfId="0" applyFont="1" applyFill="1" applyBorder="1" applyAlignment="1">
      <alignment horizontal="left" vertical="center" indent="1"/>
    </xf>
    <xf numFmtId="0" fontId="52" fillId="14" borderId="0" xfId="0" applyFont="1" applyFill="1" applyBorder="1" applyAlignment="1">
      <alignment horizontal="left" vertical="center" indent="1"/>
    </xf>
    <xf numFmtId="0" fontId="0" fillId="0" borderId="11" xfId="34" applyFont="1" applyBorder="1" applyAlignment="1">
      <alignment horizontal="right" vertical="center"/>
    </xf>
    <xf numFmtId="0" fontId="0" fillId="50" borderId="15" xfId="0" applyFill="1" applyBorder="1" applyAlignment="1">
      <alignment horizontal="right"/>
    </xf>
    <xf numFmtId="167" fontId="15" fillId="51" borderId="10" xfId="0" applyNumberFormat="1" applyFont="1" applyFill="1" applyBorder="1" applyAlignment="1" applyProtection="1">
      <alignment horizontal="center" vertical="center"/>
    </xf>
    <xf numFmtId="0" fontId="38" fillId="13" borderId="163" xfId="0" applyFont="1" applyFill="1" applyBorder="1" applyAlignment="1" applyProtection="1">
      <alignment horizontal="center" vertical="center" shrinkToFit="1"/>
      <protection locked="0"/>
    </xf>
    <xf numFmtId="0" fontId="0" fillId="23" borderId="15" xfId="0" applyFont="1" applyFill="1" applyBorder="1" applyAlignment="1">
      <alignment horizontal="right" vertical="center" indent="1"/>
    </xf>
    <xf numFmtId="2" fontId="0" fillId="48" borderId="126" xfId="0" applyNumberFormat="1" applyFill="1" applyBorder="1" applyAlignment="1" applyProtection="1">
      <alignment horizontal="center" vertical="center"/>
      <protection locked="0"/>
    </xf>
    <xf numFmtId="0" fontId="0" fillId="52" borderId="0" xfId="0" applyFill="1"/>
    <xf numFmtId="0" fontId="0" fillId="0" borderId="100" xfId="0" applyBorder="1" applyAlignment="1">
      <alignment horizontal="center" vertical="center"/>
    </xf>
    <xf numFmtId="0" fontId="0" fillId="0" borderId="135" xfId="0" applyBorder="1" applyAlignment="1">
      <alignment horizontal="right" vertical="center"/>
    </xf>
    <xf numFmtId="166" fontId="0" fillId="39" borderId="16" xfId="34" applyNumberFormat="1" applyFont="1" applyFill="1" applyBorder="1" applyAlignment="1">
      <alignment horizontal="center" vertical="center"/>
    </xf>
    <xf numFmtId="166" fontId="0" fillId="55" borderId="28" xfId="0" applyNumberFormat="1" applyFill="1" applyBorder="1" applyAlignment="1">
      <alignment horizontal="center" vertical="center"/>
    </xf>
    <xf numFmtId="1" fontId="0" fillId="55" borderId="10" xfId="0" applyNumberFormat="1" applyFill="1" applyBorder="1" applyAlignment="1">
      <alignment horizontal="center" vertical="center"/>
    </xf>
    <xf numFmtId="1" fontId="0" fillId="55" borderId="29" xfId="0" applyNumberFormat="1" applyFill="1" applyBorder="1" applyAlignment="1">
      <alignment horizontal="center" vertical="center"/>
    </xf>
    <xf numFmtId="0" fontId="28" fillId="0" borderId="0" xfId="0" applyFont="1" applyAlignment="1">
      <alignment horizontal="left" vertical="center"/>
    </xf>
    <xf numFmtId="0" fontId="41" fillId="42" borderId="100" xfId="0" applyFont="1" applyFill="1" applyBorder="1" applyAlignment="1" applyProtection="1">
      <alignment horizontal="center" vertical="center" wrapText="1"/>
      <protection hidden="1"/>
    </xf>
    <xf numFmtId="9" fontId="29" fillId="0" borderId="103" xfId="30" applyFont="1" applyFill="1" applyBorder="1" applyAlignment="1" applyProtection="1">
      <alignment horizontal="center" vertical="center" shrinkToFit="1"/>
    </xf>
    <xf numFmtId="0" fontId="0" fillId="56" borderId="135" xfId="0" applyFill="1" applyBorder="1" applyAlignment="1">
      <alignment horizontal="right" vertical="center"/>
    </xf>
    <xf numFmtId="166" fontId="0" fillId="56" borderId="15" xfId="34" applyNumberFormat="1" applyFont="1" applyFill="1" applyBorder="1" applyAlignment="1">
      <alignment horizontal="center" vertical="center"/>
    </xf>
    <xf numFmtId="166" fontId="0" fillId="56" borderId="16" xfId="34" applyNumberFormat="1" applyFont="1" applyFill="1" applyBorder="1" applyAlignment="1">
      <alignment horizontal="center" vertical="center"/>
    </xf>
    <xf numFmtId="166" fontId="0" fillId="57" borderId="48" xfId="34" applyNumberFormat="1" applyFont="1" applyFill="1" applyBorder="1" applyAlignment="1">
      <alignment horizontal="center" vertical="center"/>
    </xf>
    <xf numFmtId="2" fontId="0" fillId="57" borderId="44" xfId="34" applyNumberFormat="1" applyFont="1" applyFill="1" applyBorder="1" applyAlignment="1">
      <alignment horizontal="center" vertical="center"/>
    </xf>
    <xf numFmtId="2" fontId="0" fillId="57" borderId="10" xfId="34" applyNumberFormat="1" applyFont="1" applyFill="1" applyBorder="1" applyAlignment="1">
      <alignment horizontal="center" vertical="center"/>
    </xf>
    <xf numFmtId="2" fontId="0" fillId="57" borderId="49" xfId="34" applyNumberFormat="1" applyFont="1" applyFill="1" applyBorder="1" applyAlignment="1">
      <alignment horizontal="center" vertical="center"/>
    </xf>
    <xf numFmtId="166" fontId="0" fillId="56" borderId="10" xfId="34" applyNumberFormat="1" applyFont="1" applyFill="1" applyBorder="1" applyAlignment="1">
      <alignment horizontal="center" vertical="center"/>
    </xf>
    <xf numFmtId="0" fontId="92" fillId="42" borderId="103" xfId="34" applyFont="1" applyFill="1" applyBorder="1" applyAlignment="1" applyProtection="1">
      <alignment horizontal="center" vertical="center" textRotation="90" wrapText="1"/>
      <protection hidden="1"/>
    </xf>
    <xf numFmtId="0" fontId="0" fillId="52" borderId="0" xfId="0" applyFill="1" applyProtection="1"/>
    <xf numFmtId="0" fontId="52" fillId="52" borderId="0" xfId="0" applyFont="1" applyFill="1" applyBorder="1" applyAlignment="1" applyProtection="1">
      <alignment vertical="center"/>
    </xf>
    <xf numFmtId="0" fontId="28" fillId="52" borderId="0" xfId="0" applyFont="1" applyFill="1" applyBorder="1" applyAlignment="1" applyProtection="1">
      <alignment horizontal="center" shrinkToFit="1"/>
    </xf>
    <xf numFmtId="0" fontId="28" fillId="52" borderId="0" xfId="0" applyFont="1" applyFill="1" applyBorder="1" applyAlignment="1" applyProtection="1">
      <alignment vertical="center"/>
    </xf>
    <xf numFmtId="0" fontId="28" fillId="52" borderId="0" xfId="0" applyFont="1" applyFill="1" applyBorder="1" applyAlignment="1" applyProtection="1">
      <alignment horizontal="center" vertical="center"/>
    </xf>
    <xf numFmtId="0" fontId="28" fillId="53" borderId="103" xfId="0" applyFont="1" applyFill="1" applyBorder="1" applyAlignment="1" applyProtection="1">
      <alignment horizontal="center" vertical="center" shrinkToFit="1"/>
    </xf>
    <xf numFmtId="0" fontId="0" fillId="52" borderId="0" xfId="0" applyFill="1" applyBorder="1" applyProtection="1"/>
    <xf numFmtId="0" fontId="26" fillId="52" borderId="0" xfId="0" applyFont="1" applyFill="1" applyAlignment="1" applyProtection="1">
      <alignment horizontal="center"/>
    </xf>
    <xf numFmtId="0" fontId="70" fillId="42" borderId="10" xfId="0" applyFont="1" applyFill="1" applyBorder="1" applyAlignment="1" applyProtection="1">
      <alignment horizontal="center" vertical="center" wrapText="1"/>
    </xf>
    <xf numFmtId="0" fontId="70" fillId="42" borderId="103" xfId="0" applyFont="1" applyFill="1" applyBorder="1" applyAlignment="1" applyProtection="1">
      <alignment horizontal="center" vertical="center" wrapText="1"/>
    </xf>
    <xf numFmtId="0" fontId="28" fillId="39" borderId="100" xfId="0" applyFont="1" applyFill="1" applyBorder="1" applyAlignment="1" applyProtection="1">
      <alignment horizontal="left" vertical="center"/>
    </xf>
    <xf numFmtId="0" fontId="38" fillId="39" borderId="101" xfId="0" applyFont="1" applyFill="1" applyBorder="1" applyAlignment="1" applyProtection="1">
      <alignment horizontal="center"/>
    </xf>
    <xf numFmtId="0" fontId="38" fillId="39" borderId="135" xfId="0" applyFont="1" applyFill="1" applyBorder="1" applyAlignment="1" applyProtection="1">
      <alignment horizontal="center"/>
    </xf>
    <xf numFmtId="0" fontId="28" fillId="51" borderId="15" xfId="0" applyFont="1" applyFill="1" applyBorder="1" applyAlignment="1" applyProtection="1">
      <alignment horizontal="center" vertical="center"/>
    </xf>
    <xf numFmtId="166" fontId="0" fillId="46" borderId="100" xfId="0" applyNumberFormat="1" applyFont="1" applyFill="1" applyBorder="1" applyAlignment="1" applyProtection="1">
      <alignment horizontal="center" vertical="center" shrinkToFit="1"/>
    </xf>
    <xf numFmtId="166" fontId="33" fillId="54" borderId="100" xfId="0" applyNumberFormat="1" applyFont="1" applyFill="1" applyBorder="1" applyAlignment="1" applyProtection="1">
      <alignment horizontal="center" vertical="center" shrinkToFit="1"/>
    </xf>
    <xf numFmtId="166" fontId="33" fillId="54" borderId="114" xfId="0" applyNumberFormat="1" applyFont="1" applyFill="1" applyBorder="1" applyAlignment="1" applyProtection="1">
      <alignment horizontal="center" vertical="center" shrinkToFit="1"/>
    </xf>
    <xf numFmtId="166" fontId="0" fillId="39" borderId="101" xfId="0" applyNumberFormat="1" applyFill="1" applyBorder="1" applyAlignment="1" applyProtection="1">
      <alignment horizontal="center" vertical="center" shrinkToFit="1"/>
    </xf>
    <xf numFmtId="0" fontId="26" fillId="39" borderId="101" xfId="0" applyFont="1" applyFill="1" applyBorder="1" applyAlignment="1" applyProtection="1">
      <alignment horizontal="center" vertical="center" shrinkToFit="1"/>
    </xf>
    <xf numFmtId="0" fontId="28" fillId="39" borderId="101" xfId="0" applyFont="1" applyFill="1" applyBorder="1" applyAlignment="1" applyProtection="1">
      <alignment horizontal="center" vertical="center" shrinkToFit="1"/>
    </xf>
    <xf numFmtId="0" fontId="26" fillId="39" borderId="101" xfId="0" applyFont="1" applyFill="1" applyBorder="1" applyAlignment="1" applyProtection="1">
      <alignment horizontal="center" vertical="center"/>
    </xf>
    <xf numFmtId="166" fontId="33" fillId="39" borderId="101" xfId="0" applyNumberFormat="1" applyFont="1" applyFill="1" applyBorder="1" applyAlignment="1" applyProtection="1">
      <alignment horizontal="center" vertical="center" shrinkToFit="1"/>
    </xf>
    <xf numFmtId="166" fontId="33" fillId="54" borderId="154" xfId="0" applyNumberFormat="1" applyFont="1" applyFill="1" applyBorder="1" applyAlignment="1" applyProtection="1">
      <alignment horizontal="center" vertical="center" shrinkToFit="1"/>
    </xf>
    <xf numFmtId="0" fontId="28" fillId="39" borderId="103" xfId="0" applyFont="1" applyFill="1" applyBorder="1" applyAlignment="1" applyProtection="1">
      <alignment horizontal="center" vertical="center" wrapText="1"/>
    </xf>
    <xf numFmtId="2" fontId="15" fillId="51" borderId="103" xfId="34" applyNumberFormat="1" applyFont="1" applyFill="1" applyBorder="1" applyAlignment="1" applyProtection="1">
      <alignment horizontal="center" vertical="center"/>
    </xf>
    <xf numFmtId="2" fontId="60" fillId="51" borderId="103" xfId="34" applyNumberFormat="1" applyFont="1" applyFill="1" applyBorder="1" applyAlignment="1" applyProtection="1">
      <alignment horizontal="center" vertical="center"/>
    </xf>
    <xf numFmtId="166" fontId="15" fillId="51" borderId="103" xfId="34" applyNumberFormat="1" applyFont="1" applyFill="1" applyBorder="1" applyAlignment="1" applyProtection="1">
      <alignment horizontal="center" vertical="center"/>
    </xf>
    <xf numFmtId="0" fontId="28" fillId="39" borderId="100" xfId="0" applyFont="1" applyFill="1" applyBorder="1" applyAlignment="1" applyProtection="1">
      <alignment vertical="center"/>
    </xf>
    <xf numFmtId="49" fontId="26" fillId="53" borderId="103" xfId="0" applyNumberFormat="1" applyFont="1" applyFill="1" applyBorder="1" applyAlignment="1" applyProtection="1">
      <alignment textRotation="90" wrapText="1"/>
    </xf>
    <xf numFmtId="0" fontId="0" fillId="0" borderId="0" xfId="0" applyAlignment="1" applyProtection="1">
      <alignment horizontal="right" vertical="center"/>
    </xf>
    <xf numFmtId="1" fontId="0" fillId="0" borderId="103" xfId="0" applyNumberFormat="1" applyBorder="1" applyAlignment="1" applyProtection="1">
      <alignment horizontal="center" vertical="center" shrinkToFit="1"/>
    </xf>
    <xf numFmtId="2" fontId="0" fillId="0" borderId="103" xfId="0" applyNumberFormat="1" applyBorder="1" applyAlignment="1" applyProtection="1">
      <alignment horizontal="center" vertical="center" shrinkToFit="1"/>
    </xf>
    <xf numFmtId="0" fontId="0" fillId="0" borderId="103" xfId="0" applyBorder="1" applyAlignment="1" applyProtection="1">
      <alignment horizontal="center" vertical="center"/>
    </xf>
    <xf numFmtId="0" fontId="28" fillId="39" borderId="0" xfId="0" applyFont="1" applyFill="1" applyAlignment="1" applyProtection="1">
      <alignment horizontal="right" vertical="center"/>
    </xf>
    <xf numFmtId="0" fontId="28" fillId="39" borderId="132" xfId="0" applyFont="1" applyFill="1" applyBorder="1" applyAlignment="1" applyProtection="1">
      <alignment horizontal="left"/>
    </xf>
    <xf numFmtId="0" fontId="38" fillId="39" borderId="101" xfId="0" applyFont="1" applyFill="1" applyBorder="1" applyAlignment="1" applyProtection="1">
      <alignment horizontal="left" indent="1"/>
    </xf>
    <xf numFmtId="0" fontId="33" fillId="0" borderId="0" xfId="0" applyFont="1" applyAlignment="1" applyProtection="1">
      <alignment horizontal="right"/>
    </xf>
    <xf numFmtId="166" fontId="28" fillId="0" borderId="103" xfId="0" applyNumberFormat="1" applyFont="1" applyBorder="1" applyAlignment="1" applyProtection="1">
      <alignment horizontal="center" vertical="center"/>
    </xf>
    <xf numFmtId="166" fontId="26" fillId="0" borderId="103" xfId="0" applyNumberFormat="1" applyFont="1" applyFill="1" applyBorder="1" applyAlignment="1" applyProtection="1">
      <alignment horizontal="center" vertical="center"/>
    </xf>
    <xf numFmtId="166" fontId="26" fillId="0" borderId="103" xfId="0" applyNumberFormat="1" applyFont="1" applyFill="1" applyBorder="1" applyAlignment="1" applyProtection="1">
      <alignment horizontal="left" vertical="center" indent="1"/>
    </xf>
    <xf numFmtId="0" fontId="28" fillId="0" borderId="0" xfId="0" applyFont="1" applyProtection="1"/>
    <xf numFmtId="166" fontId="28" fillId="39" borderId="0" xfId="0" applyNumberFormat="1" applyFont="1" applyFill="1" applyProtection="1"/>
    <xf numFmtId="166" fontId="0" fillId="39" borderId="0" xfId="0" applyNumberFormat="1" applyFill="1" applyProtection="1"/>
    <xf numFmtId="0" fontId="27" fillId="39" borderId="100" xfId="0" applyFont="1" applyFill="1" applyBorder="1" applyAlignment="1" applyProtection="1">
      <alignment horizontal="left"/>
    </xf>
    <xf numFmtId="0" fontId="33" fillId="0" borderId="0" xfId="0" applyFont="1" applyAlignment="1" applyProtection="1">
      <alignment horizontal="right" vertical="center"/>
    </xf>
    <xf numFmtId="0" fontId="26" fillId="0" borderId="103" xfId="0" applyFont="1" applyFill="1" applyBorder="1" applyAlignment="1" applyProtection="1">
      <alignment horizontal="center" vertical="center"/>
    </xf>
    <xf numFmtId="0" fontId="0" fillId="39" borderId="0" xfId="0" applyFill="1" applyProtection="1"/>
    <xf numFmtId="0" fontId="28" fillId="39" borderId="103" xfId="0" applyFont="1" applyFill="1" applyBorder="1" applyAlignment="1" applyProtection="1">
      <alignment horizontal="center" vertical="center" shrinkToFit="1"/>
    </xf>
    <xf numFmtId="0" fontId="38" fillId="39" borderId="115" xfId="0" applyFont="1" applyFill="1" applyBorder="1" applyAlignment="1" applyProtection="1">
      <alignment horizontal="center"/>
    </xf>
    <xf numFmtId="2" fontId="28" fillId="58" borderId="103" xfId="0" applyNumberFormat="1" applyFont="1" applyFill="1" applyBorder="1" applyAlignment="1" applyProtection="1">
      <alignment horizontal="center" vertical="center"/>
    </xf>
    <xf numFmtId="2" fontId="38" fillId="58" borderId="103" xfId="0" applyNumberFormat="1" applyFont="1" applyFill="1" applyBorder="1" applyAlignment="1" applyProtection="1">
      <alignment horizontal="center" vertical="center"/>
    </xf>
    <xf numFmtId="2" fontId="0" fillId="58" borderId="103" xfId="0" applyNumberFormat="1" applyFill="1" applyBorder="1" applyAlignment="1" applyProtection="1">
      <alignment horizontal="center" vertical="center"/>
    </xf>
    <xf numFmtId="166" fontId="28" fillId="39" borderId="0" xfId="0" applyNumberFormat="1" applyFont="1" applyFill="1" applyAlignment="1" applyProtection="1">
      <alignment vertical="center"/>
    </xf>
    <xf numFmtId="166" fontId="26" fillId="0" borderId="167" xfId="0" applyNumberFormat="1" applyFont="1" applyFill="1" applyBorder="1" applyAlignment="1" applyProtection="1">
      <alignment horizontal="left" vertical="center" indent="1"/>
    </xf>
    <xf numFmtId="0" fontId="38" fillId="39" borderId="101" xfId="0" applyFont="1" applyFill="1" applyBorder="1" applyAlignment="1" applyProtection="1">
      <alignment horizontal="right" vertical="center"/>
    </xf>
    <xf numFmtId="1" fontId="0" fillId="0" borderId="100" xfId="0" applyNumberFormat="1" applyBorder="1" applyAlignment="1" applyProtection="1">
      <alignment horizontal="center" vertical="center" shrinkToFit="1"/>
    </xf>
    <xf numFmtId="167" fontId="28" fillId="0" borderId="169" xfId="0" applyNumberFormat="1" applyFont="1" applyFill="1" applyBorder="1" applyAlignment="1" applyProtection="1">
      <alignment horizontal="left" vertical="center" indent="1" shrinkToFit="1"/>
    </xf>
    <xf numFmtId="0" fontId="0" fillId="53" borderId="126" xfId="0" applyFill="1" applyBorder="1" applyAlignment="1" applyProtection="1">
      <alignment horizontal="center" vertical="center" shrinkToFit="1"/>
    </xf>
    <xf numFmtId="0" fontId="37" fillId="42" borderId="103" xfId="0" applyFont="1" applyFill="1" applyBorder="1" applyAlignment="1" applyProtection="1">
      <alignment horizontal="center" vertical="center" wrapText="1"/>
      <protection hidden="1"/>
    </xf>
    <xf numFmtId="0" fontId="37" fillId="24" borderId="10" xfId="0" applyFont="1" applyFill="1" applyBorder="1" applyAlignment="1">
      <alignment horizontal="left" vertical="center" wrapText="1" indent="1"/>
    </xf>
    <xf numFmtId="0" fontId="33" fillId="24" borderId="166" xfId="0" applyFont="1" applyFill="1" applyBorder="1" applyAlignment="1" applyProtection="1">
      <alignment horizontal="center" vertical="center" wrapText="1"/>
    </xf>
    <xf numFmtId="166" fontId="0" fillId="0" borderId="171" xfId="34" applyNumberFormat="1" applyFont="1" applyFill="1" applyBorder="1" applyAlignment="1">
      <alignment horizontal="center" vertical="center"/>
    </xf>
    <xf numFmtId="166" fontId="0" fillId="0" borderId="172" xfId="34" applyNumberFormat="1" applyFont="1" applyFill="1" applyBorder="1" applyAlignment="1">
      <alignment horizontal="center" vertical="center"/>
    </xf>
    <xf numFmtId="166" fontId="0" fillId="14" borderId="173" xfId="34" applyNumberFormat="1" applyFont="1" applyFill="1" applyBorder="1" applyAlignment="1">
      <alignment horizontal="center" vertical="center"/>
    </xf>
    <xf numFmtId="2" fontId="0" fillId="14" borderId="174" xfId="34" applyNumberFormat="1" applyFont="1" applyFill="1" applyBorder="1" applyAlignment="1">
      <alignment horizontal="center" vertical="center"/>
    </xf>
    <xf numFmtId="2" fontId="0" fillId="14" borderId="175" xfId="34" applyNumberFormat="1" applyFont="1" applyFill="1" applyBorder="1" applyAlignment="1">
      <alignment horizontal="center" vertical="center"/>
    </xf>
    <xf numFmtId="2" fontId="0" fillId="14" borderId="176" xfId="34" applyNumberFormat="1" applyFont="1" applyFill="1" applyBorder="1" applyAlignment="1">
      <alignment horizontal="center" vertical="center"/>
    </xf>
    <xf numFmtId="166" fontId="0" fillId="0" borderId="175" xfId="34" applyNumberFormat="1" applyFont="1" applyFill="1" applyBorder="1" applyAlignment="1">
      <alignment horizontal="center" vertical="center"/>
    </xf>
    <xf numFmtId="0" fontId="37" fillId="10" borderId="175" xfId="0" applyFont="1" applyFill="1" applyBorder="1" applyAlignment="1" applyProtection="1">
      <alignment horizontal="center" vertical="center"/>
      <protection locked="0"/>
    </xf>
    <xf numFmtId="3" fontId="37" fillId="10" borderId="175" xfId="0" applyNumberFormat="1" applyFont="1" applyFill="1" applyBorder="1" applyAlignment="1" applyProtection="1">
      <alignment horizontal="center" vertical="center" wrapText="1"/>
      <protection locked="0"/>
    </xf>
    <xf numFmtId="167" fontId="39" fillId="10" borderId="175" xfId="0" applyNumberFormat="1" applyFont="1" applyFill="1" applyBorder="1" applyAlignment="1" applyProtection="1">
      <alignment horizontal="center" vertical="center" wrapText="1"/>
      <protection locked="0"/>
    </xf>
    <xf numFmtId="9" fontId="15" fillId="10" borderId="175" xfId="30" applyFont="1" applyFill="1" applyBorder="1" applyAlignment="1" applyProtection="1">
      <alignment horizontal="center" vertical="center" wrapText="1"/>
      <protection locked="0"/>
    </xf>
    <xf numFmtId="4" fontId="39" fillId="10" borderId="175" xfId="0" applyNumberFormat="1" applyFont="1" applyFill="1" applyBorder="1" applyAlignment="1" applyProtection="1">
      <alignment horizontal="center" vertical="center" wrapText="1"/>
      <protection locked="0"/>
    </xf>
    <xf numFmtId="1" fontId="0" fillId="60" borderId="29" xfId="0" applyNumberFormat="1" applyFill="1" applyBorder="1" applyAlignment="1">
      <alignment horizontal="center" vertical="center"/>
    </xf>
    <xf numFmtId="0" fontId="0" fillId="55" borderId="14" xfId="0" applyFont="1" applyFill="1" applyBorder="1" applyAlignment="1">
      <alignment horizontal="center" vertical="center" wrapText="1"/>
    </xf>
    <xf numFmtId="1" fontId="0" fillId="14" borderId="44" xfId="34" applyNumberFormat="1" applyFont="1" applyFill="1" applyBorder="1" applyAlignment="1">
      <alignment horizontal="center" vertical="center"/>
    </xf>
    <xf numFmtId="1" fontId="0" fillId="14" borderId="10" xfId="34" applyNumberFormat="1" applyFont="1" applyFill="1" applyBorder="1" applyAlignment="1">
      <alignment horizontal="center" vertical="center"/>
    </xf>
    <xf numFmtId="1" fontId="0" fillId="14" borderId="49" xfId="34" applyNumberFormat="1" applyFont="1" applyFill="1" applyBorder="1" applyAlignment="1">
      <alignment horizontal="center" vertical="center"/>
    </xf>
    <xf numFmtId="0" fontId="0" fillId="59" borderId="167" xfId="0" applyFont="1" applyFill="1" applyBorder="1" applyAlignment="1" applyProtection="1">
      <alignment horizontal="center" vertical="center"/>
    </xf>
    <xf numFmtId="0" fontId="0" fillId="59" borderId="139" xfId="0" applyFont="1" applyFill="1" applyBorder="1" applyAlignment="1" applyProtection="1">
      <alignment horizontal="center" vertical="center"/>
    </xf>
    <xf numFmtId="0" fontId="0" fillId="59" borderId="168" xfId="0" applyFont="1" applyFill="1" applyBorder="1" applyAlignment="1" applyProtection="1">
      <alignment horizontal="center" vertical="center"/>
    </xf>
    <xf numFmtId="1" fontId="0" fillId="23" borderId="177" xfId="0" applyNumberFormat="1" applyFill="1" applyBorder="1" applyAlignment="1">
      <alignment horizontal="center" vertical="center"/>
    </xf>
    <xf numFmtId="0" fontId="0" fillId="0" borderId="177" xfId="0" applyBorder="1" applyAlignment="1">
      <alignment horizontal="center" vertical="center"/>
    </xf>
    <xf numFmtId="0" fontId="0" fillId="0" borderId="172" xfId="0" applyBorder="1" applyAlignment="1">
      <alignment horizontal="center" vertical="center"/>
    </xf>
    <xf numFmtId="0" fontId="0" fillId="56" borderId="172" xfId="0" applyFill="1" applyBorder="1" applyAlignment="1">
      <alignment horizontal="center" vertical="center"/>
    </xf>
    <xf numFmtId="0" fontId="0" fillId="61" borderId="168" xfId="0" applyFill="1" applyBorder="1" applyAlignment="1">
      <alignment horizontal="center"/>
    </xf>
    <xf numFmtId="0" fontId="0" fillId="16" borderId="178" xfId="0" applyFont="1" applyFill="1" applyBorder="1" applyAlignment="1">
      <alignment horizontal="center" vertical="center"/>
    </xf>
    <xf numFmtId="0" fontId="0" fillId="16" borderId="179" xfId="0" applyFont="1" applyFill="1" applyBorder="1" applyAlignment="1">
      <alignment horizontal="center" vertical="center"/>
    </xf>
    <xf numFmtId="1" fontId="0" fillId="16" borderId="180" xfId="0" applyNumberFormat="1" applyFill="1" applyBorder="1" applyAlignment="1">
      <alignment horizontal="center" vertical="center"/>
    </xf>
    <xf numFmtId="1" fontId="0" fillId="16" borderId="181" xfId="0" applyNumberFormat="1" applyFill="1" applyBorder="1" applyAlignment="1">
      <alignment horizontal="center" vertical="center"/>
    </xf>
    <xf numFmtId="0" fontId="33" fillId="61" borderId="168" xfId="0" applyFont="1" applyFill="1" applyBorder="1" applyAlignment="1">
      <alignment horizontal="left"/>
    </xf>
    <xf numFmtId="0" fontId="28" fillId="24" borderId="184" xfId="0" applyFont="1" applyFill="1" applyBorder="1" applyAlignment="1" applyProtection="1">
      <alignment vertical="center"/>
    </xf>
    <xf numFmtId="0" fontId="0" fillId="10" borderId="186" xfId="0" applyFill="1" applyBorder="1" applyAlignment="1" applyProtection="1">
      <alignment horizontal="center" vertical="center"/>
      <protection locked="0"/>
    </xf>
    <xf numFmtId="9" fontId="15" fillId="24" borderId="64" xfId="30" applyFont="1" applyFill="1" applyBorder="1" applyAlignment="1" applyProtection="1">
      <alignment horizontal="center" vertical="center"/>
    </xf>
    <xf numFmtId="9" fontId="15" fillId="24" borderId="52" xfId="30" applyFont="1" applyFill="1" applyBorder="1" applyAlignment="1" applyProtection="1">
      <alignment horizontal="center" vertical="center"/>
    </xf>
    <xf numFmtId="9" fontId="15" fillId="24" borderId="63" xfId="30" applyFont="1" applyFill="1" applyBorder="1" applyAlignment="1" applyProtection="1">
      <alignment horizontal="center" vertical="center"/>
    </xf>
    <xf numFmtId="0" fontId="0" fillId="16" borderId="63" xfId="0" applyFill="1" applyBorder="1" applyAlignment="1" applyProtection="1">
      <alignment horizontal="center" vertical="center"/>
    </xf>
    <xf numFmtId="0" fontId="0" fillId="16" borderId="64" xfId="0" applyFill="1" applyBorder="1" applyAlignment="1" applyProtection="1">
      <alignment horizontal="center" vertical="center"/>
    </xf>
    <xf numFmtId="0" fontId="0" fillId="16" borderId="52" xfId="0" applyFill="1" applyBorder="1" applyAlignment="1" applyProtection="1">
      <alignment horizontal="center" vertical="center"/>
    </xf>
    <xf numFmtId="0" fontId="28" fillId="24" borderId="170" xfId="0" applyFont="1" applyFill="1" applyBorder="1" applyAlignment="1" applyProtection="1">
      <alignment vertical="center"/>
    </xf>
    <xf numFmtId="0" fontId="0" fillId="10" borderId="60" xfId="0" applyFill="1" applyBorder="1" applyAlignment="1" applyProtection="1">
      <alignment horizontal="center" vertical="center"/>
      <protection locked="0"/>
    </xf>
    <xf numFmtId="9" fontId="15" fillId="24" borderId="0" xfId="30" applyFont="1" applyFill="1" applyBorder="1" applyAlignment="1" applyProtection="1">
      <alignment horizontal="center" vertical="center"/>
    </xf>
    <xf numFmtId="9" fontId="15" fillId="24" borderId="78" xfId="30" applyFont="1" applyFill="1" applyBorder="1" applyAlignment="1" applyProtection="1">
      <alignment horizontal="center" vertical="center"/>
    </xf>
    <xf numFmtId="9" fontId="15" fillId="24" borderId="60" xfId="30" applyFont="1" applyFill="1" applyBorder="1" applyAlignment="1" applyProtection="1">
      <alignment horizontal="center" vertical="center"/>
    </xf>
    <xf numFmtId="0" fontId="0" fillId="16" borderId="60" xfId="0" applyFill="1" applyBorder="1" applyAlignment="1" applyProtection="1">
      <alignment horizontal="center" vertical="center"/>
    </xf>
    <xf numFmtId="0" fontId="0" fillId="16" borderId="0" xfId="0" applyFill="1" applyBorder="1" applyAlignment="1" applyProtection="1">
      <alignment horizontal="center" vertical="center"/>
    </xf>
    <xf numFmtId="0" fontId="0" fillId="16" borderId="78" xfId="0" applyFill="1" applyBorder="1" applyAlignment="1" applyProtection="1">
      <alignment horizontal="center" vertical="center"/>
    </xf>
    <xf numFmtId="0" fontId="28" fillId="24" borderId="185" xfId="0" applyFont="1" applyFill="1" applyBorder="1" applyAlignment="1" applyProtection="1">
      <alignment vertical="center"/>
    </xf>
    <xf numFmtId="0" fontId="0" fillId="10" borderId="187" xfId="0" applyFill="1" applyBorder="1" applyAlignment="1" applyProtection="1">
      <alignment horizontal="center" vertical="center"/>
      <protection locked="0"/>
    </xf>
    <xf numFmtId="9" fontId="15" fillId="24" borderId="72" xfId="30" applyFont="1" applyFill="1" applyBorder="1" applyAlignment="1" applyProtection="1">
      <alignment horizontal="center" vertical="center"/>
    </xf>
    <xf numFmtId="9" fontId="15" fillId="24" borderId="46" xfId="30" applyFont="1" applyFill="1" applyBorder="1" applyAlignment="1" applyProtection="1">
      <alignment horizontal="center" vertical="center"/>
    </xf>
    <xf numFmtId="9" fontId="15" fillId="24" borderId="65" xfId="30" applyFont="1" applyFill="1" applyBorder="1" applyAlignment="1" applyProtection="1">
      <alignment horizontal="center" vertical="center"/>
    </xf>
    <xf numFmtId="0" fontId="0" fillId="16" borderId="65" xfId="0" applyFill="1" applyBorder="1" applyAlignment="1" applyProtection="1">
      <alignment horizontal="center" vertical="center"/>
    </xf>
    <xf numFmtId="0" fontId="0" fillId="16" borderId="72" xfId="0" applyFill="1" applyBorder="1" applyAlignment="1" applyProtection="1">
      <alignment horizontal="center" vertical="center"/>
    </xf>
    <xf numFmtId="0" fontId="0" fillId="16" borderId="46" xfId="0" applyFill="1" applyBorder="1" applyAlignment="1" applyProtection="1">
      <alignment horizontal="center" vertical="center"/>
    </xf>
    <xf numFmtId="0" fontId="28" fillId="10" borderId="184" xfId="0" applyFont="1" applyFill="1" applyBorder="1" applyAlignment="1" applyProtection="1">
      <alignment vertical="center"/>
      <protection locked="0"/>
    </xf>
    <xf numFmtId="9" fontId="15" fillId="10" borderId="64" xfId="30" applyFont="1" applyFill="1" applyBorder="1" applyAlignment="1" applyProtection="1">
      <alignment horizontal="center" vertical="center"/>
      <protection locked="0"/>
    </xf>
    <xf numFmtId="9" fontId="15" fillId="10" borderId="52" xfId="30" applyFont="1" applyFill="1" applyBorder="1" applyAlignment="1" applyProtection="1">
      <alignment horizontal="center" vertical="center"/>
      <protection locked="0"/>
    </xf>
    <xf numFmtId="0" fontId="28" fillId="10" borderId="170" xfId="0" applyFont="1" applyFill="1" applyBorder="1" applyAlignment="1" applyProtection="1">
      <alignment vertical="center"/>
      <protection locked="0"/>
    </xf>
    <xf numFmtId="9" fontId="15" fillId="10" borderId="0" xfId="30" applyFont="1" applyFill="1" applyBorder="1" applyAlignment="1" applyProtection="1">
      <alignment horizontal="center" vertical="center"/>
      <protection locked="0"/>
    </xf>
    <xf numFmtId="9" fontId="15" fillId="10" borderId="78" xfId="30" applyFont="1" applyFill="1" applyBorder="1" applyAlignment="1" applyProtection="1">
      <alignment horizontal="center" vertical="center"/>
      <protection locked="0"/>
    </xf>
    <xf numFmtId="0" fontId="28" fillId="10" borderId="185" xfId="0" applyFont="1" applyFill="1" applyBorder="1" applyAlignment="1" applyProtection="1">
      <alignment vertical="center"/>
      <protection locked="0"/>
    </xf>
    <xf numFmtId="9" fontId="15" fillId="10" borderId="72" xfId="30" applyFont="1" applyFill="1" applyBorder="1" applyAlignment="1" applyProtection="1">
      <alignment horizontal="center" vertical="center"/>
      <protection locked="0"/>
    </xf>
    <xf numFmtId="9" fontId="15" fillId="10" borderId="46" xfId="30" applyFont="1" applyFill="1" applyBorder="1" applyAlignment="1" applyProtection="1">
      <alignment horizontal="center" vertical="center"/>
      <protection locked="0"/>
    </xf>
    <xf numFmtId="0" fontId="0" fillId="10" borderId="0" xfId="0" applyFill="1" applyBorder="1" applyAlignment="1" applyProtection="1">
      <alignment horizontal="center" vertical="center"/>
      <protection locked="0"/>
    </xf>
    <xf numFmtId="0" fontId="41" fillId="24" borderId="185" xfId="0" applyFont="1" applyFill="1" applyBorder="1" applyAlignment="1" applyProtection="1">
      <alignment vertical="center"/>
    </xf>
    <xf numFmtId="0" fontId="28" fillId="60" borderId="10" xfId="0" applyFont="1" applyFill="1" applyBorder="1" applyAlignment="1">
      <alignment horizontal="center" vertical="center"/>
    </xf>
    <xf numFmtId="166" fontId="28" fillId="39" borderId="16" xfId="34" applyNumberFormat="1" applyFont="1" applyFill="1" applyBorder="1" applyAlignment="1">
      <alignment horizontal="right" vertical="center"/>
    </xf>
    <xf numFmtId="166" fontId="0" fillId="0" borderId="103" xfId="0" applyNumberFormat="1" applyBorder="1" applyAlignment="1" applyProtection="1">
      <alignment vertical="center" shrinkToFit="1"/>
    </xf>
    <xf numFmtId="0" fontId="59" fillId="13" borderId="103" xfId="25" applyNumberFormat="1" applyFont="1" applyFill="1" applyBorder="1" applyAlignment="1" applyProtection="1">
      <alignment horizontal="center" vertical="center"/>
    </xf>
    <xf numFmtId="0" fontId="33" fillId="52" borderId="0" xfId="0" applyFont="1" applyFill="1" applyAlignment="1" applyProtection="1">
      <alignment vertical="center"/>
    </xf>
    <xf numFmtId="0" fontId="60" fillId="32" borderId="100" xfId="34" applyFont="1" applyFill="1" applyBorder="1" applyAlignment="1" applyProtection="1">
      <alignment horizontal="center" vertical="center" wrapText="1"/>
      <protection hidden="1"/>
    </xf>
    <xf numFmtId="0" fontId="28" fillId="51" borderId="103" xfId="34" applyFont="1" applyFill="1" applyBorder="1" applyAlignment="1" applyProtection="1">
      <alignment horizontal="center" vertical="center"/>
      <protection hidden="1"/>
    </xf>
    <xf numFmtId="1" fontId="153" fillId="51" borderId="100" xfId="34" applyNumberFormat="1" applyFont="1" applyFill="1" applyBorder="1" applyAlignment="1" applyProtection="1">
      <alignment horizontal="center" vertical="center"/>
      <protection hidden="1"/>
    </xf>
    <xf numFmtId="0" fontId="107" fillId="42" borderId="103" xfId="34" applyFont="1" applyFill="1" applyBorder="1" applyAlignment="1" applyProtection="1">
      <alignment horizontal="center" vertical="center" wrapText="1"/>
      <protection hidden="1"/>
    </xf>
    <xf numFmtId="0" fontId="28" fillId="51" borderId="100" xfId="34" applyFont="1" applyFill="1" applyBorder="1" applyAlignment="1" applyProtection="1">
      <alignment horizontal="center" vertical="center"/>
      <protection hidden="1"/>
    </xf>
    <xf numFmtId="0" fontId="47" fillId="39" borderId="100" xfId="0" applyFont="1" applyFill="1" applyBorder="1" applyAlignment="1" applyProtection="1">
      <alignment horizontal="center" vertical="center"/>
    </xf>
    <xf numFmtId="0" fontId="0" fillId="53" borderId="126" xfId="0" applyFont="1" applyFill="1" applyBorder="1" applyAlignment="1" applyProtection="1">
      <alignment horizontal="left" vertical="center" wrapText="1" shrinkToFit="1"/>
    </xf>
    <xf numFmtId="0" fontId="0" fillId="53" borderId="126" xfId="0" applyFill="1" applyBorder="1" applyAlignment="1" applyProtection="1">
      <alignment horizontal="left" vertical="center" wrapText="1" shrinkToFit="1"/>
    </xf>
    <xf numFmtId="0" fontId="92" fillId="32" borderId="100" xfId="34" applyFont="1" applyFill="1" applyBorder="1" applyAlignment="1" applyProtection="1">
      <alignment horizontal="center" vertical="center" wrapText="1"/>
      <protection hidden="1"/>
    </xf>
    <xf numFmtId="0" fontId="65" fillId="32" borderId="103" xfId="34" applyFont="1" applyFill="1" applyBorder="1" applyAlignment="1" applyProtection="1">
      <alignment horizontal="center" vertical="center" wrapText="1"/>
      <protection hidden="1"/>
    </xf>
    <xf numFmtId="1" fontId="153" fillId="51" borderId="103" xfId="34" applyNumberFormat="1" applyFont="1" applyFill="1" applyBorder="1" applyAlignment="1" applyProtection="1">
      <alignment horizontal="center" vertical="center"/>
      <protection hidden="1"/>
    </xf>
    <xf numFmtId="167" fontId="28" fillId="58" borderId="103" xfId="0" applyNumberFormat="1" applyFont="1" applyFill="1" applyBorder="1" applyAlignment="1" applyProtection="1">
      <alignment horizontal="center" vertical="center" shrinkToFit="1"/>
    </xf>
    <xf numFmtId="0" fontId="38" fillId="39" borderId="125" xfId="0" applyFont="1" applyFill="1" applyBorder="1" applyAlignment="1" applyProtection="1">
      <alignment horizontal="center"/>
    </xf>
    <xf numFmtId="0" fontId="38" fillId="39" borderId="193" xfId="0" applyFont="1" applyFill="1" applyBorder="1" applyAlignment="1" applyProtection="1">
      <alignment horizontal="center"/>
    </xf>
    <xf numFmtId="0" fontId="27" fillId="48" borderId="103" xfId="0" applyFont="1" applyFill="1" applyBorder="1" applyAlignment="1" applyProtection="1">
      <alignment horizontal="center" vertical="center"/>
      <protection locked="0"/>
    </xf>
    <xf numFmtId="0" fontId="27" fillId="48" borderId="164" xfId="0" applyFont="1" applyFill="1" applyBorder="1" applyAlignment="1" applyProtection="1">
      <alignment horizontal="center" vertical="center"/>
      <protection locked="0"/>
    </xf>
    <xf numFmtId="0" fontId="27" fillId="48" borderId="167" xfId="0" applyFont="1" applyFill="1" applyBorder="1" applyAlignment="1" applyProtection="1">
      <alignment horizontal="center" vertical="center"/>
      <protection locked="0"/>
    </xf>
    <xf numFmtId="0" fontId="27" fillId="39" borderId="101" xfId="0" applyFont="1" applyFill="1" applyBorder="1" applyAlignment="1" applyProtection="1">
      <alignment horizontal="center" vertical="center"/>
    </xf>
    <xf numFmtId="0" fontId="27" fillId="39" borderId="125" xfId="0" applyFont="1" applyFill="1" applyBorder="1" applyAlignment="1" applyProtection="1">
      <alignment horizontal="center" vertical="center"/>
    </xf>
    <xf numFmtId="0" fontId="27" fillId="39" borderId="135" xfId="0" applyFont="1" applyFill="1" applyBorder="1" applyAlignment="1" applyProtection="1">
      <alignment horizontal="center" vertical="center"/>
    </xf>
    <xf numFmtId="0" fontId="27" fillId="48" borderId="165" xfId="0" applyFont="1" applyFill="1" applyBorder="1" applyAlignment="1" applyProtection="1">
      <alignment horizontal="center" vertical="center"/>
      <protection locked="0"/>
    </xf>
    <xf numFmtId="0" fontId="38" fillId="40" borderId="100" xfId="0" applyFont="1" applyFill="1" applyBorder="1" applyAlignment="1" applyProtection="1">
      <alignment horizontal="left" vertical="center" wrapText="1" shrinkToFit="1"/>
    </xf>
    <xf numFmtId="0" fontId="0" fillId="39" borderId="125" xfId="0" applyFill="1" applyBorder="1" applyProtection="1"/>
    <xf numFmtId="0" fontId="0" fillId="39" borderId="103" xfId="0" applyFill="1" applyBorder="1" applyProtection="1"/>
    <xf numFmtId="0" fontId="0" fillId="39" borderId="0" xfId="0" applyFill="1" applyBorder="1" applyProtection="1"/>
    <xf numFmtId="0" fontId="0" fillId="39" borderId="0" xfId="0" applyFill="1" applyBorder="1" applyAlignment="1" applyProtection="1">
      <alignment wrapText="1"/>
    </xf>
    <xf numFmtId="0" fontId="39" fillId="10" borderId="10" xfId="0" applyNumberFormat="1" applyFont="1" applyFill="1" applyBorder="1" applyAlignment="1" applyProtection="1">
      <alignment horizontal="center" vertical="center" shrinkToFit="1"/>
      <protection locked="0"/>
    </xf>
    <xf numFmtId="0" fontId="39" fillId="16" borderId="10" xfId="0" applyNumberFormat="1" applyFont="1" applyFill="1" applyBorder="1" applyAlignment="1" applyProtection="1">
      <alignment horizontal="center" vertical="center" shrinkToFit="1"/>
    </xf>
    <xf numFmtId="0" fontId="35" fillId="14" borderId="0" xfId="0" applyFont="1" applyFill="1" applyBorder="1" applyAlignment="1">
      <alignment vertical="top" wrapText="1"/>
    </xf>
    <xf numFmtId="0" fontId="28" fillId="39" borderId="103" xfId="0" applyFont="1" applyFill="1" applyBorder="1" applyAlignment="1" applyProtection="1">
      <alignment horizontal="left" vertical="center"/>
    </xf>
    <xf numFmtId="49" fontId="26" fillId="53" borderId="195" xfId="0" applyNumberFormat="1" applyFont="1" applyFill="1" applyBorder="1" applyAlignment="1" applyProtection="1">
      <alignment wrapText="1"/>
    </xf>
    <xf numFmtId="0" fontId="26" fillId="39" borderId="101" xfId="0" applyFont="1" applyFill="1" applyBorder="1" applyAlignment="1" applyProtection="1">
      <alignment horizontal="center"/>
    </xf>
    <xf numFmtId="0" fontId="0" fillId="39" borderId="0" xfId="0" applyFill="1" applyAlignment="1" applyProtection="1">
      <alignment horizontal="center" vertical="center"/>
    </xf>
    <xf numFmtId="166" fontId="37" fillId="0" borderId="103" xfId="0" applyNumberFormat="1" applyFont="1" applyBorder="1" applyAlignment="1">
      <alignment horizontal="center" vertical="center"/>
    </xf>
    <xf numFmtId="0" fontId="27" fillId="39" borderId="100" xfId="0" applyFont="1" applyFill="1" applyBorder="1" applyAlignment="1" applyProtection="1">
      <alignment horizontal="left" vertical="center"/>
    </xf>
    <xf numFmtId="166" fontId="60" fillId="51" borderId="103" xfId="34" applyNumberFormat="1" applyFont="1" applyFill="1" applyBorder="1" applyAlignment="1" applyProtection="1">
      <alignment horizontal="center" vertical="center"/>
    </xf>
    <xf numFmtId="166" fontId="28" fillId="0" borderId="103" xfId="0" applyNumberFormat="1" applyFont="1" applyBorder="1" applyAlignment="1" applyProtection="1">
      <alignment horizontal="center" vertical="center" shrinkToFit="1"/>
    </xf>
    <xf numFmtId="166" fontId="28" fillId="39" borderId="0" xfId="0" applyNumberFormat="1" applyFont="1" applyFill="1" applyAlignment="1" applyProtection="1">
      <alignment shrinkToFit="1"/>
    </xf>
    <xf numFmtId="0" fontId="39" fillId="16" borderId="10" xfId="0" applyFont="1" applyFill="1" applyBorder="1" applyAlignment="1" applyProtection="1">
      <alignment horizontal="center" vertical="center"/>
    </xf>
    <xf numFmtId="0" fontId="47" fillId="16" borderId="10" xfId="0" applyFont="1" applyFill="1" applyBorder="1" applyAlignment="1" applyProtection="1">
      <alignment horizontal="center" vertical="center"/>
    </xf>
    <xf numFmtId="0" fontId="39" fillId="16" borderId="0" xfId="0" applyFont="1" applyFill="1" applyBorder="1" applyProtection="1"/>
    <xf numFmtId="0" fontId="118" fillId="16" borderId="0" xfId="0" applyFont="1" applyFill="1" applyBorder="1" applyAlignment="1" applyProtection="1">
      <alignment vertical="center"/>
    </xf>
    <xf numFmtId="44" fontId="0" fillId="0" borderId="0" xfId="52" applyFont="1"/>
    <xf numFmtId="0" fontId="37" fillId="39" borderId="189" xfId="0" applyFont="1" applyFill="1" applyBorder="1" applyAlignment="1" applyProtection="1">
      <alignment vertical="center"/>
    </xf>
    <xf numFmtId="0" fontId="37" fillId="39" borderId="189" xfId="0" applyFont="1" applyFill="1" applyBorder="1" applyAlignment="1" applyProtection="1">
      <alignment horizontal="left" vertical="center"/>
    </xf>
    <xf numFmtId="0" fontId="30" fillId="14" borderId="0" xfId="0" applyFont="1" applyFill="1" applyAlignment="1">
      <alignment horizontal="center" vertical="center"/>
    </xf>
    <xf numFmtId="0" fontId="28" fillId="39" borderId="125" xfId="0" applyFont="1" applyFill="1" applyBorder="1" applyAlignment="1" applyProtection="1">
      <alignment vertical="center"/>
    </xf>
    <xf numFmtId="0" fontId="28" fillId="39" borderId="0" xfId="0" applyFont="1" applyFill="1" applyBorder="1" applyAlignment="1" applyProtection="1">
      <alignment horizontal="left" vertical="center"/>
    </xf>
    <xf numFmtId="166" fontId="26" fillId="0" borderId="0" xfId="0" applyNumberFormat="1" applyFont="1" applyFill="1" applyBorder="1" applyAlignment="1" applyProtection="1">
      <alignment horizontal="center" vertical="center"/>
    </xf>
    <xf numFmtId="166" fontId="37" fillId="0" borderId="0" xfId="0" applyNumberFormat="1" applyFont="1" applyBorder="1" applyAlignment="1">
      <alignment horizontal="center" vertical="center"/>
    </xf>
    <xf numFmtId="166" fontId="26" fillId="0" borderId="0" xfId="0" applyNumberFormat="1" applyFont="1" applyFill="1" applyBorder="1" applyAlignment="1" applyProtection="1">
      <alignment horizontal="left" vertical="center" indent="1"/>
    </xf>
    <xf numFmtId="167" fontId="28" fillId="0" borderId="0" xfId="0" applyNumberFormat="1" applyFont="1" applyFill="1" applyBorder="1" applyAlignment="1" applyProtection="1">
      <alignment horizontal="left" vertical="center" indent="1" shrinkToFit="1"/>
    </xf>
    <xf numFmtId="0" fontId="37" fillId="39" borderId="125" xfId="0" applyFont="1" applyFill="1" applyBorder="1" applyAlignment="1" applyProtection="1">
      <alignment horizontal="right" vertical="center"/>
    </xf>
    <xf numFmtId="0" fontId="28" fillId="40" borderId="103" xfId="0" applyFont="1" applyFill="1" applyBorder="1" applyAlignment="1" applyProtection="1">
      <alignment horizontal="left" vertical="center" wrapText="1"/>
      <protection locked="0"/>
    </xf>
    <xf numFmtId="0" fontId="0" fillId="40" borderId="103" xfId="0" applyFill="1" applyBorder="1" applyAlignment="1" applyProtection="1">
      <alignment horizontal="left" vertical="center" wrapText="1" shrinkToFit="1"/>
      <protection locked="0"/>
    </xf>
    <xf numFmtId="0" fontId="0" fillId="40" borderId="103" xfId="0" applyFill="1" applyBorder="1" applyAlignment="1" applyProtection="1">
      <alignment horizontal="left" vertical="center" wrapText="1"/>
      <protection locked="0"/>
    </xf>
    <xf numFmtId="0" fontId="41" fillId="39" borderId="125" xfId="0" applyFont="1" applyFill="1" applyBorder="1" applyAlignment="1" applyProtection="1">
      <alignment horizontal="right" vertical="center" wrapText="1" indent="1"/>
    </xf>
    <xf numFmtId="0" fontId="39" fillId="10" borderId="175" xfId="0" applyNumberFormat="1" applyFont="1" applyFill="1" applyBorder="1" applyAlignment="1" applyProtection="1">
      <alignment horizontal="center" vertical="center" shrinkToFit="1"/>
      <protection locked="0"/>
    </xf>
    <xf numFmtId="0" fontId="29" fillId="0" borderId="172" xfId="0" applyFont="1" applyBorder="1" applyAlignment="1">
      <alignment horizontal="left" vertical="center"/>
    </xf>
    <xf numFmtId="0" fontId="29" fillId="0" borderId="175" xfId="0" applyFont="1" applyBorder="1" applyAlignment="1">
      <alignment horizontal="center" vertical="center"/>
    </xf>
    <xf numFmtId="0" fontId="0" fillId="63" borderId="200" xfId="0" applyFill="1" applyBorder="1" applyAlignment="1">
      <alignment horizontal="center"/>
    </xf>
    <xf numFmtId="0" fontId="0" fillId="63" borderId="175" xfId="0" applyFill="1" applyBorder="1" applyAlignment="1">
      <alignment horizontal="center"/>
    </xf>
    <xf numFmtId="0" fontId="0" fillId="63" borderId="177" xfId="0" applyFill="1" applyBorder="1" applyAlignment="1">
      <alignment horizontal="center"/>
    </xf>
    <xf numFmtId="0" fontId="0" fillId="63" borderId="200" xfId="0" applyFill="1" applyBorder="1" applyAlignment="1">
      <alignment horizontal="center" vertical="center"/>
    </xf>
    <xf numFmtId="0" fontId="0" fillId="63" borderId="175" xfId="0" applyFont="1" applyFill="1" applyBorder="1" applyAlignment="1">
      <alignment horizontal="center" vertical="center"/>
    </xf>
    <xf numFmtId="0" fontId="0" fillId="63" borderId="201" xfId="0" applyFill="1" applyBorder="1" applyAlignment="1">
      <alignment horizontal="center" vertical="center"/>
    </xf>
    <xf numFmtId="2" fontId="0" fillId="0" borderId="200" xfId="0" applyNumberFormat="1" applyBorder="1" applyAlignment="1">
      <alignment horizontal="center" vertical="center"/>
    </xf>
    <xf numFmtId="2" fontId="0" fillId="0" borderId="175" xfId="0" applyNumberFormat="1" applyFont="1" applyBorder="1" applyAlignment="1">
      <alignment horizontal="center" vertical="center"/>
    </xf>
    <xf numFmtId="2" fontId="0" fillId="0" borderId="201" xfId="0" applyNumberFormat="1" applyBorder="1" applyAlignment="1">
      <alignment horizontal="center" vertical="center"/>
    </xf>
    <xf numFmtId="175" fontId="0" fillId="0" borderId="201" xfId="0" applyNumberFormat="1" applyBorder="1" applyAlignment="1">
      <alignment horizontal="center" vertical="center"/>
    </xf>
    <xf numFmtId="2" fontId="0" fillId="63" borderId="200" xfId="0" applyNumberFormat="1" applyFill="1" applyBorder="1" applyAlignment="1">
      <alignment horizontal="center" vertical="center"/>
    </xf>
    <xf numFmtId="2" fontId="0" fillId="63" borderId="201" xfId="0" applyNumberFormat="1" applyFill="1" applyBorder="1" applyAlignment="1">
      <alignment horizontal="center" vertical="center"/>
    </xf>
    <xf numFmtId="0" fontId="0" fillId="0" borderId="202" xfId="0" applyFont="1" applyBorder="1" applyAlignment="1">
      <alignment wrapText="1"/>
    </xf>
    <xf numFmtId="0" fontId="28" fillId="0" borderId="203" xfId="0" applyFont="1" applyBorder="1" applyAlignment="1">
      <alignment horizontal="center"/>
    </xf>
    <xf numFmtId="0" fontId="28" fillId="0" borderId="204" xfId="0" applyFont="1" applyBorder="1" applyAlignment="1">
      <alignment horizontal="center"/>
    </xf>
    <xf numFmtId="174" fontId="37" fillId="0" borderId="174" xfId="0" applyNumberFormat="1" applyFont="1" applyBorder="1" applyAlignment="1">
      <alignment horizontal="center"/>
    </xf>
    <xf numFmtId="174" fontId="37" fillId="0" borderId="176" xfId="0" applyNumberFormat="1" applyFont="1" applyBorder="1" applyAlignment="1">
      <alignment horizontal="center"/>
    </xf>
    <xf numFmtId="0" fontId="0" fillId="0" borderId="200" xfId="0" applyFont="1" applyBorder="1" applyAlignment="1">
      <alignment wrapText="1"/>
    </xf>
    <xf numFmtId="2" fontId="28" fillId="0" borderId="10" xfId="0" applyNumberFormat="1" applyFont="1" applyBorder="1" applyAlignment="1">
      <alignment horizontal="center"/>
    </xf>
    <xf numFmtId="2" fontId="28" fillId="0" borderId="175" xfId="0" applyNumberFormat="1" applyFont="1" applyBorder="1" applyAlignment="1">
      <alignment horizontal="center"/>
    </xf>
    <xf numFmtId="2" fontId="28" fillId="0" borderId="201" xfId="0" applyNumberFormat="1" applyFont="1" applyBorder="1" applyAlignment="1">
      <alignment horizontal="center"/>
    </xf>
    <xf numFmtId="0" fontId="159" fillId="0" borderId="103" xfId="0" applyFont="1" applyBorder="1" applyAlignment="1">
      <alignment vertical="center" wrapText="1"/>
    </xf>
    <xf numFmtId="0" fontId="160" fillId="0" borderId="103" xfId="0" applyFont="1" applyBorder="1" applyAlignment="1">
      <alignment vertical="center" wrapText="1"/>
    </xf>
    <xf numFmtId="0" fontId="161" fillId="64" borderId="103" xfId="0" applyFont="1" applyFill="1" applyBorder="1" applyAlignment="1">
      <alignment horizontal="center" vertical="center"/>
    </xf>
    <xf numFmtId="0" fontId="158" fillId="0" borderId="103" xfId="0" applyFont="1" applyBorder="1" applyAlignment="1">
      <alignment vertical="center" wrapText="1"/>
    </xf>
    <xf numFmtId="0" fontId="41" fillId="24" borderId="10" xfId="0" applyFont="1" applyFill="1" applyBorder="1" applyAlignment="1" applyProtection="1">
      <alignment horizontal="center" vertical="center" shrinkToFit="1"/>
      <protection locked="0"/>
    </xf>
    <xf numFmtId="0" fontId="41" fillId="24" borderId="10" xfId="29" applyNumberFormat="1" applyFont="1" applyFill="1" applyBorder="1" applyAlignment="1" applyProtection="1">
      <alignment horizontal="center" vertical="center" shrinkToFit="1"/>
    </xf>
    <xf numFmtId="0" fontId="27" fillId="68" borderId="57" xfId="0" applyFont="1" applyFill="1" applyBorder="1" applyAlignment="1">
      <alignment horizontal="center" vertical="center"/>
    </xf>
    <xf numFmtId="0" fontId="27" fillId="68" borderId="175" xfId="0" applyFont="1" applyFill="1" applyBorder="1" applyAlignment="1">
      <alignment horizontal="center" vertical="center"/>
    </xf>
    <xf numFmtId="0" fontId="38" fillId="68" borderId="175" xfId="0" applyFont="1" applyFill="1" applyBorder="1" applyAlignment="1">
      <alignment horizontal="center" vertical="center"/>
    </xf>
    <xf numFmtId="0" fontId="37" fillId="66" borderId="94" xfId="0" applyFont="1" applyFill="1" applyBorder="1" applyAlignment="1">
      <alignment horizontal="center" vertical="center" wrapText="1"/>
    </xf>
    <xf numFmtId="0" fontId="37" fillId="66" borderId="90" xfId="0" applyFont="1" applyFill="1" applyBorder="1" applyAlignment="1">
      <alignment horizontal="center" vertical="center" wrapText="1"/>
    </xf>
    <xf numFmtId="0" fontId="28" fillId="66" borderId="34" xfId="0" applyFont="1" applyFill="1" applyBorder="1" applyAlignment="1">
      <alignment horizontal="center" vertical="center"/>
    </xf>
    <xf numFmtId="0" fontId="27" fillId="68" borderId="215" xfId="0" applyFont="1" applyFill="1" applyBorder="1" applyAlignment="1">
      <alignment horizontal="center" vertical="center"/>
    </xf>
    <xf numFmtId="0" fontId="27" fillId="69" borderId="24" xfId="0" applyFont="1" applyFill="1" applyBorder="1" applyAlignment="1">
      <alignment vertical="center"/>
    </xf>
    <xf numFmtId="0" fontId="47" fillId="67" borderId="24" xfId="0" applyFont="1" applyFill="1" applyBorder="1" applyAlignment="1">
      <alignment vertical="center"/>
    </xf>
    <xf numFmtId="0" fontId="38" fillId="68" borderId="214" xfId="0" applyFont="1" applyFill="1" applyBorder="1" applyAlignment="1">
      <alignment vertical="center"/>
    </xf>
    <xf numFmtId="0" fontId="38" fillId="68" borderId="174" xfId="0" applyFont="1" applyFill="1" applyBorder="1" applyAlignment="1">
      <alignment vertical="center"/>
    </xf>
    <xf numFmtId="0" fontId="157" fillId="39" borderId="103" xfId="0" applyFont="1" applyFill="1" applyBorder="1" applyAlignment="1">
      <alignment horizontal="center" vertical="center"/>
    </xf>
    <xf numFmtId="0" fontId="158" fillId="71" borderId="103" xfId="0" applyFont="1" applyFill="1" applyBorder="1" applyAlignment="1">
      <alignment horizontal="center" vertical="center" wrapText="1"/>
    </xf>
    <xf numFmtId="0" fontId="160" fillId="70" borderId="103" xfId="0" applyFont="1" applyFill="1" applyBorder="1" applyAlignment="1">
      <alignment vertical="center" wrapText="1"/>
    </xf>
    <xf numFmtId="0" fontId="158" fillId="70" borderId="103" xfId="0" applyFont="1" applyFill="1" applyBorder="1" applyAlignment="1">
      <alignment horizontal="center" vertical="center" wrapText="1"/>
    </xf>
    <xf numFmtId="0" fontId="160" fillId="71" borderId="103" xfId="0" applyFont="1" applyFill="1" applyBorder="1" applyAlignment="1">
      <alignment horizontal="center" vertical="center" wrapText="1"/>
    </xf>
    <xf numFmtId="0" fontId="63" fillId="13" borderId="217" xfId="25" applyNumberFormat="1" applyFont="1" applyFill="1" applyBorder="1" applyAlignment="1" applyProtection="1">
      <alignment horizontal="center" vertical="center"/>
      <protection locked="0"/>
    </xf>
    <xf numFmtId="0" fontId="41" fillId="0" borderId="0" xfId="0" applyFont="1" applyBorder="1" applyAlignment="1">
      <alignment horizontal="center" vertical="center" wrapText="1"/>
    </xf>
    <xf numFmtId="0" fontId="130" fillId="0" borderId="103" xfId="0" applyFont="1" applyFill="1" applyBorder="1" applyAlignment="1">
      <alignment horizontal="center" vertical="center" wrapText="1"/>
    </xf>
    <xf numFmtId="0" fontId="23" fillId="42" borderId="103" xfId="34" applyFont="1" applyFill="1" applyBorder="1" applyAlignment="1" applyProtection="1">
      <alignment horizontal="center" vertical="center" wrapText="1"/>
      <protection hidden="1"/>
    </xf>
    <xf numFmtId="0" fontId="142" fillId="39" borderId="0" xfId="0" applyFont="1" applyFill="1" applyBorder="1" applyAlignment="1">
      <alignment vertical="top"/>
    </xf>
    <xf numFmtId="0" fontId="169" fillId="0" borderId="0" xfId="0" applyFont="1" applyAlignment="1">
      <alignment vertical="center"/>
    </xf>
    <xf numFmtId="0" fontId="0" fillId="49" borderId="103" xfId="0" applyFill="1" applyBorder="1" applyAlignment="1" applyProtection="1">
      <alignment horizontal="center" vertical="center" shrinkToFit="1"/>
      <protection locked="0"/>
    </xf>
    <xf numFmtId="16" fontId="0" fillId="48" borderId="103" xfId="0" applyNumberFormat="1" applyFill="1" applyBorder="1" applyAlignment="1" applyProtection="1">
      <alignment horizontal="center" vertical="center" shrinkToFit="1"/>
      <protection locked="0"/>
    </xf>
    <xf numFmtId="1" fontId="0" fillId="46" borderId="103" xfId="0" applyNumberFormat="1" applyFill="1" applyBorder="1" applyAlignment="1">
      <alignment horizontal="center" vertical="center"/>
    </xf>
    <xf numFmtId="0" fontId="0" fillId="48" borderId="103" xfId="0" applyFill="1" applyBorder="1" applyAlignment="1" applyProtection="1">
      <alignment horizontal="center" vertical="center" shrinkToFit="1"/>
      <protection locked="0"/>
    </xf>
    <xf numFmtId="1" fontId="0" fillId="46" borderId="103" xfId="0" applyNumberFormat="1" applyFill="1" applyBorder="1" applyAlignment="1">
      <alignment horizontal="center" vertical="center" shrinkToFit="1"/>
    </xf>
    <xf numFmtId="168" fontId="120" fillId="46" borderId="103" xfId="29" applyNumberFormat="1" applyFont="1" applyFill="1" applyBorder="1" applyAlignment="1">
      <alignment horizontal="center" vertical="center"/>
    </xf>
    <xf numFmtId="0" fontId="149" fillId="46" borderId="103" xfId="0" applyFont="1" applyFill="1" applyBorder="1" applyAlignment="1">
      <alignment horizontal="center" vertical="center" wrapText="1" shrinkToFit="1"/>
    </xf>
    <xf numFmtId="0" fontId="0" fillId="39" borderId="120" xfId="0" applyFill="1" applyBorder="1"/>
    <xf numFmtId="0" fontId="146" fillId="39" borderId="0" xfId="0" applyFont="1" applyFill="1" applyBorder="1" applyAlignment="1">
      <alignment vertical="top" wrapText="1"/>
    </xf>
    <xf numFmtId="0" fontId="0" fillId="39" borderId="0" xfId="0" applyFill="1" applyBorder="1"/>
    <xf numFmtId="0" fontId="39" fillId="39" borderId="0" xfId="0" applyFont="1" applyFill="1" applyBorder="1" applyAlignment="1">
      <alignment horizontal="right" indent="1"/>
    </xf>
    <xf numFmtId="4" fontId="39" fillId="46" borderId="139" xfId="0" applyNumberFormat="1" applyFont="1" applyFill="1" applyBorder="1" applyAlignment="1" applyProtection="1">
      <alignment horizontal="center" vertical="center"/>
    </xf>
    <xf numFmtId="0" fontId="147" fillId="39" borderId="0" xfId="0" applyFont="1" applyFill="1" applyBorder="1" applyAlignment="1">
      <alignment vertical="center"/>
    </xf>
    <xf numFmtId="0" fontId="0" fillId="48" borderId="122" xfId="0" applyFill="1" applyBorder="1" applyAlignment="1" applyProtection="1">
      <alignment horizontal="center" vertical="center"/>
      <protection locked="0"/>
    </xf>
    <xf numFmtId="2" fontId="0" fillId="48" borderId="122" xfId="0" applyNumberFormat="1" applyFill="1" applyBorder="1" applyAlignment="1" applyProtection="1">
      <alignment horizontal="center" vertical="center"/>
      <protection locked="0"/>
    </xf>
    <xf numFmtId="0" fontId="0" fillId="48" borderId="154" xfId="0" applyFill="1" applyBorder="1" applyAlignment="1" applyProtection="1">
      <alignment horizontal="center" vertical="center" wrapText="1"/>
      <protection locked="0"/>
    </xf>
    <xf numFmtId="0" fontId="0" fillId="49" borderId="122" xfId="0" applyFill="1" applyBorder="1" applyAlignment="1" applyProtection="1">
      <alignment horizontal="center" vertical="center" shrinkToFit="1"/>
      <protection locked="0"/>
    </xf>
    <xf numFmtId="16" fontId="0" fillId="48" borderId="122" xfId="0" applyNumberFormat="1" applyFill="1" applyBorder="1" applyAlignment="1" applyProtection="1">
      <alignment horizontal="center" vertical="center" shrinkToFit="1"/>
      <protection locked="0"/>
    </xf>
    <xf numFmtId="0" fontId="0" fillId="48" borderId="122" xfId="0" applyFill="1" applyBorder="1" applyAlignment="1" applyProtection="1">
      <alignment horizontal="center" vertical="center" shrinkToFit="1"/>
      <protection locked="0"/>
    </xf>
    <xf numFmtId="1" fontId="0" fillId="46" borderId="122" xfId="0" applyNumberFormat="1" applyFill="1" applyBorder="1" applyAlignment="1">
      <alignment horizontal="center" vertical="center" shrinkToFit="1"/>
    </xf>
    <xf numFmtId="168" fontId="120" fillId="46" borderId="122" xfId="29" applyNumberFormat="1" applyFont="1" applyFill="1" applyBorder="1" applyAlignment="1">
      <alignment horizontal="center" vertical="center"/>
    </xf>
    <xf numFmtId="0" fontId="149" fillId="46" borderId="122" xfId="0" applyFont="1" applyFill="1" applyBorder="1" applyAlignment="1">
      <alignment horizontal="center" vertical="center" wrapText="1" shrinkToFit="1"/>
    </xf>
    <xf numFmtId="0" fontId="38" fillId="39" borderId="235" xfId="0" applyFont="1" applyFill="1" applyBorder="1" applyAlignment="1">
      <alignment vertical="center" wrapText="1"/>
    </xf>
    <xf numFmtId="0" fontId="38" fillId="39" borderId="236" xfId="0" applyFont="1" applyFill="1" applyBorder="1" applyAlignment="1">
      <alignment vertical="center" wrapText="1"/>
    </xf>
    <xf numFmtId="0" fontId="38" fillId="39" borderId="235" xfId="0" applyFont="1" applyFill="1" applyBorder="1" applyAlignment="1">
      <alignment vertical="top"/>
    </xf>
    <xf numFmtId="0" fontId="27" fillId="39" borderId="238" xfId="0" applyFont="1" applyFill="1" applyBorder="1" applyAlignment="1">
      <alignment horizontal="center" vertical="center" wrapText="1"/>
    </xf>
    <xf numFmtId="0" fontId="26" fillId="47" borderId="240" xfId="0" applyFont="1" applyFill="1" applyBorder="1" applyAlignment="1">
      <alignment horizontal="center" vertical="center"/>
    </xf>
    <xf numFmtId="0" fontId="0" fillId="39" borderId="152" xfId="0" applyFill="1" applyBorder="1" applyAlignment="1">
      <alignment horizontal="center" vertical="center" shrinkToFit="1"/>
    </xf>
    <xf numFmtId="0" fontId="0" fillId="39" borderId="238" xfId="0" applyFill="1" applyBorder="1" applyAlignment="1">
      <alignment horizontal="center" vertical="center" shrinkToFit="1"/>
    </xf>
    <xf numFmtId="0" fontId="0" fillId="39" borderId="241" xfId="0" applyFill="1" applyBorder="1" applyAlignment="1">
      <alignment horizontal="center" vertical="center" shrinkToFit="1"/>
    </xf>
    <xf numFmtId="0" fontId="0" fillId="39" borderId="242" xfId="0" applyFill="1" applyBorder="1" applyAlignment="1">
      <alignment horizontal="center" vertical="center" shrinkToFit="1"/>
    </xf>
    <xf numFmtId="0" fontId="0" fillId="39" borderId="161" xfId="0" applyFill="1" applyBorder="1" applyAlignment="1">
      <alignment horizontal="center" vertical="center" shrinkToFit="1"/>
    </xf>
    <xf numFmtId="0" fontId="78" fillId="39" borderId="243" xfId="0" applyFont="1" applyFill="1" applyBorder="1" applyAlignment="1">
      <alignment horizontal="center" vertical="center" wrapText="1" shrinkToFit="1"/>
    </xf>
    <xf numFmtId="0" fontId="0" fillId="39" borderId="232" xfId="0" applyFill="1" applyBorder="1" applyAlignment="1">
      <alignment horizontal="center" vertical="center" shrinkToFit="1"/>
    </xf>
    <xf numFmtId="0" fontId="0" fillId="39" borderId="231" xfId="0" applyFill="1" applyBorder="1" applyAlignment="1">
      <alignment horizontal="center" vertical="center" shrinkToFit="1"/>
    </xf>
    <xf numFmtId="0" fontId="52" fillId="39" borderId="151" xfId="0" applyFont="1" applyFill="1" applyBorder="1" applyAlignment="1">
      <alignment horizontal="center" vertical="center" wrapText="1"/>
    </xf>
    <xf numFmtId="0" fontId="37" fillId="72" borderId="117" xfId="34" applyFont="1" applyFill="1" applyBorder="1" applyAlignment="1" applyProtection="1">
      <alignment vertical="center" wrapText="1"/>
      <protection hidden="1"/>
    </xf>
    <xf numFmtId="0" fontId="37" fillId="72" borderId="118" xfId="34" applyFont="1" applyFill="1" applyBorder="1" applyAlignment="1" applyProtection="1">
      <alignment vertical="center" wrapText="1"/>
      <protection hidden="1"/>
    </xf>
    <xf numFmtId="0" fontId="37" fillId="72" borderId="111" xfId="34" applyFont="1" applyFill="1" applyBorder="1" applyAlignment="1" applyProtection="1">
      <alignment horizontal="right" vertical="center" wrapText="1" indent="1"/>
      <protection hidden="1"/>
    </xf>
    <xf numFmtId="166" fontId="27" fillId="73" borderId="46" xfId="34" applyNumberFormat="1" applyFont="1" applyFill="1" applyBorder="1" applyAlignment="1" applyProtection="1">
      <alignment horizontal="center"/>
      <protection hidden="1"/>
    </xf>
    <xf numFmtId="0" fontId="37" fillId="72" borderId="15" xfId="34" applyFont="1" applyFill="1" applyBorder="1" applyAlignment="1" applyProtection="1">
      <alignment vertical="center"/>
      <protection hidden="1"/>
    </xf>
    <xf numFmtId="0" fontId="28" fillId="72" borderId="46" xfId="34" applyFont="1" applyFill="1" applyBorder="1" applyAlignment="1" applyProtection="1">
      <alignment horizontal="center" vertical="center"/>
      <protection hidden="1"/>
    </xf>
    <xf numFmtId="1" fontId="0" fillId="74" borderId="103" xfId="0" applyNumberFormat="1" applyFill="1" applyBorder="1" applyAlignment="1" applyProtection="1">
      <alignment horizontal="center" vertical="center" shrinkToFit="1"/>
    </xf>
    <xf numFmtId="166" fontId="26" fillId="74" borderId="0" xfId="0" applyNumberFormat="1" applyFont="1" applyFill="1" applyBorder="1" applyAlignment="1" applyProtection="1">
      <alignment horizontal="left" vertical="center" indent="1"/>
    </xf>
    <xf numFmtId="166" fontId="0" fillId="74" borderId="0" xfId="0" applyNumberFormat="1" applyFont="1" applyFill="1" applyBorder="1" applyAlignment="1" applyProtection="1">
      <alignment horizontal="left" vertical="center" indent="1"/>
    </xf>
    <xf numFmtId="0" fontId="0" fillId="52" borderId="0" xfId="0" applyFill="1" applyBorder="1"/>
    <xf numFmtId="0" fontId="27" fillId="39" borderId="244" xfId="0" applyFont="1" applyFill="1" applyBorder="1" applyAlignment="1" applyProtection="1">
      <alignment vertical="center"/>
    </xf>
    <xf numFmtId="0" fontId="27" fillId="39" borderId="246" xfId="0" applyFont="1" applyFill="1" applyBorder="1" applyAlignment="1" applyProtection="1">
      <alignment vertical="center"/>
    </xf>
    <xf numFmtId="0" fontId="0" fillId="39" borderId="246" xfId="0" applyFill="1" applyBorder="1" applyProtection="1"/>
    <xf numFmtId="0" fontId="37" fillId="39" borderId="246" xfId="0" applyFont="1" applyFill="1" applyBorder="1" applyAlignment="1" applyProtection="1">
      <alignment horizontal="right" vertical="center" indent="1"/>
    </xf>
    <xf numFmtId="0" fontId="41" fillId="39" borderId="246" xfId="0" applyFont="1" applyFill="1" applyBorder="1" applyAlignment="1" applyProtection="1">
      <alignment horizontal="right" vertical="center" wrapText="1" indent="1"/>
    </xf>
    <xf numFmtId="167" fontId="28" fillId="58" borderId="245" xfId="0" applyNumberFormat="1" applyFont="1" applyFill="1" applyBorder="1" applyAlignment="1" applyProtection="1">
      <alignment horizontal="center" vertical="center" shrinkToFit="1"/>
    </xf>
    <xf numFmtId="0" fontId="38" fillId="0" borderId="11"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5" xfId="0" applyBorder="1" applyAlignment="1" applyProtection="1">
      <alignment vertical="center"/>
      <protection locked="0"/>
    </xf>
    <xf numFmtId="0" fontId="0" fillId="0" borderId="11" xfId="0" applyBorder="1" applyProtection="1">
      <protection locked="0"/>
    </xf>
    <xf numFmtId="0" fontId="0" fillId="0" borderId="15" xfId="0" applyBorder="1" applyProtection="1">
      <protection locked="0"/>
    </xf>
    <xf numFmtId="0" fontId="0" fillId="0" borderId="16" xfId="0" applyBorder="1" applyProtection="1">
      <protection locked="0"/>
    </xf>
    <xf numFmtId="0" fontId="23" fillId="0" borderId="11" xfId="0" applyFont="1" applyBorder="1" applyAlignment="1">
      <alignment horizontal="left" vertical="center" indent="1"/>
    </xf>
    <xf numFmtId="0" fontId="23" fillId="16" borderId="0" xfId="0" applyFont="1" applyFill="1" applyBorder="1" applyAlignment="1">
      <alignment horizontal="left" vertical="center" indent="1"/>
    </xf>
    <xf numFmtId="0" fontId="0" fillId="76" borderId="0" xfId="0" applyFill="1" applyProtection="1"/>
    <xf numFmtId="0" fontId="170" fillId="75" borderId="220" xfId="34" applyFont="1" applyFill="1" applyBorder="1" applyAlignment="1" applyProtection="1">
      <alignment horizontal="center" vertical="center"/>
    </xf>
    <xf numFmtId="0" fontId="171" fillId="75" borderId="220" xfId="34" applyFont="1" applyFill="1" applyBorder="1" applyAlignment="1" applyProtection="1">
      <alignment horizontal="center" vertical="center"/>
    </xf>
    <xf numFmtId="0" fontId="90" fillId="13" borderId="184" xfId="25" applyNumberFormat="1" applyFont="1" applyFill="1" applyBorder="1" applyAlignment="1" applyProtection="1">
      <alignment horizontal="center" vertical="center"/>
    </xf>
    <xf numFmtId="0" fontId="35" fillId="0" borderId="0" xfId="0" applyFont="1" applyFill="1" applyBorder="1" applyAlignment="1">
      <alignment horizontal="center" vertical="center" wrapText="1"/>
    </xf>
    <xf numFmtId="0" fontId="65" fillId="0" borderId="0" xfId="0" applyFont="1" applyFill="1" applyAlignment="1">
      <alignment vertical="center"/>
    </xf>
    <xf numFmtId="0" fontId="60" fillId="0" borderId="0" xfId="0" applyFont="1" applyFill="1" applyAlignment="1">
      <alignment vertical="center"/>
    </xf>
    <xf numFmtId="0" fontId="172" fillId="71" borderId="103" xfId="0" applyFont="1" applyFill="1" applyBorder="1" applyAlignment="1">
      <alignment horizontal="center" vertical="center" wrapText="1"/>
    </xf>
    <xf numFmtId="0" fontId="0" fillId="0" borderId="250" xfId="0" applyFont="1" applyFill="1" applyBorder="1" applyAlignment="1">
      <alignment horizontal="left" vertical="center"/>
    </xf>
    <xf numFmtId="0" fontId="38" fillId="30" borderId="260" xfId="0" applyFont="1" applyFill="1" applyBorder="1" applyAlignment="1">
      <alignment horizontal="center" vertical="center"/>
    </xf>
    <xf numFmtId="0" fontId="38" fillId="30" borderId="282" xfId="0" applyFont="1" applyFill="1" applyBorder="1" applyAlignment="1">
      <alignment horizontal="center" vertical="center"/>
    </xf>
    <xf numFmtId="0" fontId="0" fillId="0" borderId="0" xfId="0" applyFill="1" applyBorder="1"/>
    <xf numFmtId="0" fontId="43" fillId="0" borderId="0" xfId="0" applyFont="1" applyFill="1" applyBorder="1" applyAlignment="1">
      <alignment horizontal="left" wrapText="1"/>
    </xf>
    <xf numFmtId="0" fontId="38" fillId="0" borderId="0" xfId="0" applyFont="1" applyFill="1" applyAlignment="1">
      <alignment vertical="center"/>
    </xf>
    <xf numFmtId="0" fontId="43" fillId="0" borderId="0" xfId="0" applyFont="1" applyFill="1" applyBorder="1" applyAlignment="1">
      <alignment horizontal="left"/>
    </xf>
    <xf numFmtId="0" fontId="43" fillId="0" borderId="0" xfId="0" applyFont="1" applyFill="1" applyBorder="1" applyAlignment="1">
      <alignment horizontal="left" vertical="center"/>
    </xf>
    <xf numFmtId="0" fontId="129" fillId="0" borderId="0" xfId="0" applyFont="1" applyFill="1" applyBorder="1" applyAlignment="1"/>
    <xf numFmtId="0" fontId="129" fillId="0" borderId="0" xfId="0" applyFont="1" applyFill="1" applyAlignment="1"/>
    <xf numFmtId="0" fontId="38" fillId="0" borderId="0" xfId="0" applyFont="1" applyFill="1"/>
    <xf numFmtId="0" fontId="47" fillId="69" borderId="218" xfId="0" applyFont="1" applyFill="1" applyBorder="1" applyAlignment="1">
      <alignment vertical="center"/>
    </xf>
    <xf numFmtId="0" fontId="28" fillId="66" borderId="297" xfId="0" applyFont="1" applyFill="1" applyBorder="1" applyAlignment="1">
      <alignment horizontal="center" vertical="center"/>
    </xf>
    <xf numFmtId="0" fontId="28" fillId="66" borderId="289" xfId="0" applyFont="1" applyFill="1" applyBorder="1" applyAlignment="1">
      <alignment horizontal="center" vertical="center"/>
    </xf>
    <xf numFmtId="0" fontId="0" fillId="66" borderId="288" xfId="0" applyFont="1" applyFill="1" applyBorder="1" applyAlignment="1">
      <alignment horizontal="center" vertical="center" shrinkToFit="1"/>
    </xf>
    <xf numFmtId="0" fontId="0" fillId="66" borderId="298" xfId="0" applyFont="1" applyFill="1" applyBorder="1" applyAlignment="1">
      <alignment horizontal="center" vertical="center" shrinkToFit="1"/>
    </xf>
    <xf numFmtId="0" fontId="0" fillId="66" borderId="289" xfId="0" applyFont="1" applyFill="1" applyBorder="1" applyAlignment="1">
      <alignment horizontal="center" vertical="center" shrinkToFit="1"/>
    </xf>
    <xf numFmtId="0" fontId="37" fillId="66" borderId="297" xfId="0" applyFont="1" applyFill="1" applyBorder="1" applyAlignment="1">
      <alignment horizontal="center" vertical="center" wrapText="1"/>
    </xf>
    <xf numFmtId="0" fontId="37" fillId="66" borderId="291" xfId="0" applyFont="1" applyFill="1" applyBorder="1" applyAlignment="1">
      <alignment horizontal="center" vertical="center" wrapText="1"/>
    </xf>
    <xf numFmtId="0" fontId="38" fillId="68" borderId="299" xfId="0" applyFont="1" applyFill="1" applyBorder="1" applyAlignment="1">
      <alignment vertical="center"/>
    </xf>
    <xf numFmtId="0" fontId="27" fillId="68" borderId="302" xfId="0" applyFont="1" applyFill="1" applyBorder="1" applyAlignment="1">
      <alignment horizontal="center" vertical="center"/>
    </xf>
    <xf numFmtId="16" fontId="38" fillId="68" borderId="302" xfId="0" applyNumberFormat="1" applyFont="1" applyFill="1" applyBorder="1" applyAlignment="1">
      <alignment horizontal="center" vertical="center"/>
    </xf>
    <xf numFmtId="0" fontId="38" fillId="68" borderId="302" xfId="0" applyFont="1" applyFill="1" applyBorder="1" applyAlignment="1">
      <alignment horizontal="center" vertical="center"/>
    </xf>
    <xf numFmtId="0" fontId="38" fillId="68" borderId="310" xfId="0" applyFont="1" applyFill="1" applyBorder="1" applyAlignment="1">
      <alignment vertical="center"/>
    </xf>
    <xf numFmtId="0" fontId="27" fillId="68" borderId="312" xfId="0" applyFont="1" applyFill="1" applyBorder="1" applyAlignment="1">
      <alignment horizontal="center" vertical="center"/>
    </xf>
    <xf numFmtId="2" fontId="0" fillId="0" borderId="10" xfId="0" applyNumberFormat="1" applyFont="1" applyBorder="1" applyAlignment="1">
      <alignment horizontal="center" vertical="center"/>
    </xf>
    <xf numFmtId="0" fontId="0" fillId="63" borderId="0" xfId="0" applyFill="1" applyAlignment="1">
      <alignment horizontal="center"/>
    </xf>
    <xf numFmtId="0" fontId="0" fillId="63" borderId="10" xfId="0" applyFill="1" applyBorder="1"/>
    <xf numFmtId="0" fontId="29" fillId="63" borderId="172" xfId="0" applyFont="1" applyFill="1" applyBorder="1" applyAlignment="1">
      <alignment horizontal="left" vertical="center"/>
    </xf>
    <xf numFmtId="0" fontId="28" fillId="0" borderId="0" xfId="0" applyFont="1" applyFill="1" applyAlignment="1">
      <alignment vertical="center"/>
    </xf>
    <xf numFmtId="0" fontId="0" fillId="63" borderId="303" xfId="0" applyFill="1" applyBorder="1" applyAlignment="1">
      <alignment horizontal="center" vertical="center"/>
    </xf>
    <xf numFmtId="0" fontId="0" fillId="0" borderId="302" xfId="0" applyFont="1" applyBorder="1" applyAlignment="1">
      <alignment horizontal="center" vertical="center"/>
    </xf>
    <xf numFmtId="0" fontId="28" fillId="39" borderId="320" xfId="0" applyFont="1" applyFill="1" applyBorder="1" applyAlignment="1">
      <alignment horizontal="center" vertical="center"/>
    </xf>
    <xf numFmtId="0" fontId="56" fillId="0" borderId="321" xfId="0" applyFont="1" applyFill="1" applyBorder="1" applyAlignment="1">
      <alignment horizontal="left" vertical="center" indent="1"/>
    </xf>
    <xf numFmtId="0" fontId="56" fillId="0" borderId="299" xfId="0" applyFont="1" applyFill="1" applyBorder="1" applyAlignment="1">
      <alignment horizontal="left" vertical="center" indent="1"/>
    </xf>
    <xf numFmtId="0" fontId="28" fillId="61" borderId="320" xfId="0" applyFont="1" applyFill="1" applyBorder="1" applyAlignment="1">
      <alignment horizontal="center" vertical="center"/>
    </xf>
    <xf numFmtId="0" fontId="56" fillId="0" borderId="320" xfId="0" applyFont="1" applyFill="1" applyBorder="1" applyAlignment="1">
      <alignment horizontal="left" vertical="center" indent="1"/>
    </xf>
    <xf numFmtId="0" fontId="27" fillId="39" borderId="0" xfId="0" applyFont="1" applyFill="1" applyBorder="1" applyAlignment="1">
      <alignment horizontal="center" vertical="center"/>
    </xf>
    <xf numFmtId="0" fontId="30" fillId="14" borderId="318" xfId="0" applyFont="1" applyFill="1" applyBorder="1" applyAlignment="1">
      <alignment vertical="center"/>
    </xf>
    <xf numFmtId="0" fontId="0" fillId="0" borderId="301" xfId="0" applyFont="1" applyFill="1" applyBorder="1" applyAlignment="1">
      <alignment horizontal="left" vertical="center"/>
    </xf>
    <xf numFmtId="0" fontId="0" fillId="70" borderId="301" xfId="0" applyFont="1" applyFill="1" applyBorder="1" applyAlignment="1">
      <alignment horizontal="left" vertical="center"/>
    </xf>
    <xf numFmtId="0" fontId="38" fillId="61" borderId="319" xfId="0" applyFont="1" applyFill="1" applyBorder="1" applyAlignment="1">
      <alignment horizontal="left" vertical="center"/>
    </xf>
    <xf numFmtId="0" fontId="38" fillId="61" borderId="319" xfId="0" applyFont="1" applyFill="1" applyBorder="1" applyAlignment="1">
      <alignment vertical="center"/>
    </xf>
    <xf numFmtId="0" fontId="0" fillId="0" borderId="305" xfId="0" applyBorder="1" applyProtection="1">
      <protection locked="0"/>
    </xf>
    <xf numFmtId="0" fontId="0" fillId="0" borderId="301" xfId="0" applyBorder="1" applyProtection="1">
      <protection locked="0"/>
    </xf>
    <xf numFmtId="0" fontId="0" fillId="0" borderId="0" xfId="0" applyAlignment="1" applyProtection="1"/>
    <xf numFmtId="0" fontId="0" fillId="0" borderId="11" xfId="0" applyBorder="1" applyAlignment="1" applyProtection="1">
      <protection locked="0"/>
    </xf>
    <xf numFmtId="0" fontId="0" fillId="0" borderId="15" xfId="0" applyBorder="1" applyAlignment="1" applyProtection="1">
      <protection locked="0"/>
    </xf>
    <xf numFmtId="0" fontId="0" fillId="0" borderId="0" xfId="0" applyAlignment="1"/>
    <xf numFmtId="0" fontId="0" fillId="0" borderId="16" xfId="0" applyBorder="1" applyAlignment="1" applyProtection="1">
      <protection locked="0"/>
    </xf>
    <xf numFmtId="0" fontId="0" fillId="0" borderId="306" xfId="0" applyBorder="1" applyAlignment="1" applyProtection="1">
      <protection locked="0"/>
    </xf>
    <xf numFmtId="0" fontId="0" fillId="0" borderId="305" xfId="0" applyBorder="1" applyAlignment="1" applyProtection="1">
      <protection locked="0"/>
    </xf>
    <xf numFmtId="1" fontId="30" fillId="9" borderId="306" xfId="0" applyNumberFormat="1" applyFont="1" applyFill="1" applyBorder="1" applyAlignment="1" applyProtection="1">
      <alignment horizontal="center"/>
    </xf>
    <xf numFmtId="1" fontId="30" fillId="19" borderId="306" xfId="0" applyNumberFormat="1" applyFont="1" applyFill="1" applyBorder="1" applyAlignment="1" applyProtection="1">
      <alignment horizontal="center"/>
    </xf>
    <xf numFmtId="0" fontId="92" fillId="14" borderId="306" xfId="0" applyFont="1" applyFill="1" applyBorder="1" applyAlignment="1">
      <alignment horizontal="center" vertical="center" wrapText="1"/>
    </xf>
    <xf numFmtId="0" fontId="0" fillId="0" borderId="306" xfId="0" applyFont="1" applyBorder="1" applyAlignment="1">
      <alignment horizontal="center" vertical="center"/>
    </xf>
    <xf numFmtId="0" fontId="30" fillId="0" borderId="306" xfId="0" applyFont="1" applyBorder="1" applyAlignment="1">
      <alignment horizontal="center" vertical="center"/>
    </xf>
    <xf numFmtId="0" fontId="30" fillId="7" borderId="320" xfId="0" applyFont="1" applyFill="1" applyBorder="1" applyAlignment="1">
      <alignment horizontal="center" vertical="center" wrapText="1"/>
    </xf>
    <xf numFmtId="0" fontId="30" fillId="14" borderId="320" xfId="0" applyFont="1" applyFill="1" applyBorder="1" applyAlignment="1">
      <alignment horizontal="center" vertical="center"/>
    </xf>
    <xf numFmtId="0" fontId="30" fillId="14" borderId="320" xfId="0" applyFont="1" applyFill="1" applyBorder="1" applyAlignment="1">
      <alignment vertical="center"/>
    </xf>
    <xf numFmtId="0" fontId="27" fillId="39" borderId="320" xfId="0" applyFont="1" applyFill="1" applyBorder="1" applyAlignment="1">
      <alignment horizontal="center" vertical="center"/>
    </xf>
    <xf numFmtId="0" fontId="30" fillId="0" borderId="320" xfId="0" applyFont="1" applyBorder="1" applyAlignment="1">
      <alignment vertical="center"/>
    </xf>
    <xf numFmtId="0" fontId="0" fillId="0" borderId="320" xfId="0" applyFont="1" applyFill="1" applyBorder="1" applyAlignment="1">
      <alignment horizontal="left" vertical="center"/>
    </xf>
    <xf numFmtId="0" fontId="28" fillId="9" borderId="320" xfId="0" applyFont="1" applyFill="1" applyBorder="1" applyAlignment="1">
      <alignment horizontal="center" vertical="center"/>
    </xf>
    <xf numFmtId="0" fontId="0" fillId="30" borderId="320" xfId="0" applyFont="1" applyFill="1" applyBorder="1" applyAlignment="1">
      <alignment horizontal="center" vertical="center"/>
    </xf>
    <xf numFmtId="0" fontId="0" fillId="31" borderId="320" xfId="0" applyFont="1" applyFill="1" applyBorder="1" applyAlignment="1">
      <alignment horizontal="center" vertical="center"/>
    </xf>
    <xf numFmtId="0" fontId="0" fillId="0" borderId="166" xfId="0" applyFont="1" applyBorder="1" applyAlignment="1">
      <alignment vertical="center"/>
    </xf>
    <xf numFmtId="0" fontId="28" fillId="9" borderId="166" xfId="0" applyFont="1" applyFill="1" applyBorder="1" applyAlignment="1">
      <alignment horizontal="center" vertical="center"/>
    </xf>
    <xf numFmtId="0" fontId="0" fillId="30" borderId="166" xfId="0" applyFont="1" applyFill="1" applyBorder="1" applyAlignment="1">
      <alignment horizontal="center" vertical="center"/>
    </xf>
    <xf numFmtId="0" fontId="0" fillId="31" borderId="166" xfId="0" applyFont="1" applyFill="1" applyBorder="1" applyAlignment="1">
      <alignment horizontal="center" vertical="center"/>
    </xf>
    <xf numFmtId="0" fontId="60" fillId="19" borderId="320" xfId="0" applyFont="1" applyFill="1" applyBorder="1"/>
    <xf numFmtId="0" fontId="60" fillId="14" borderId="320" xfId="0" applyFont="1" applyFill="1" applyBorder="1" applyAlignment="1">
      <alignment horizontal="center" vertical="center"/>
    </xf>
    <xf numFmtId="0" fontId="0" fillId="70" borderId="320" xfId="0" applyFont="1" applyFill="1" applyBorder="1" applyAlignment="1">
      <alignment horizontal="left" vertical="center"/>
    </xf>
    <xf numFmtId="0" fontId="27" fillId="61" borderId="320" xfId="0" applyFont="1" applyFill="1" applyBorder="1" applyAlignment="1">
      <alignment horizontal="center" vertical="center"/>
    </xf>
    <xf numFmtId="0" fontId="38" fillId="61" borderId="320" xfId="0" applyFont="1" applyFill="1" applyBorder="1" applyAlignment="1">
      <alignment horizontal="left" vertical="center"/>
    </xf>
    <xf numFmtId="0" fontId="38" fillId="61" borderId="320" xfId="0" applyFont="1" applyFill="1" applyBorder="1" applyAlignment="1">
      <alignment vertical="center"/>
    </xf>
    <xf numFmtId="0" fontId="30" fillId="14" borderId="301" xfId="0" applyFont="1" applyFill="1" applyBorder="1" applyAlignment="1">
      <alignment vertical="center"/>
    </xf>
    <xf numFmtId="0" fontId="30" fillId="14" borderId="301" xfId="0" applyFont="1" applyFill="1" applyBorder="1" applyAlignment="1">
      <alignment horizontal="center" vertical="center"/>
    </xf>
    <xf numFmtId="0" fontId="30" fillId="19" borderId="0" xfId="0" applyFont="1" applyFill="1" applyBorder="1" applyAlignment="1">
      <alignment vertical="center"/>
    </xf>
    <xf numFmtId="0" fontId="28" fillId="81" borderId="320" xfId="0" applyFont="1" applyFill="1" applyBorder="1" applyAlignment="1">
      <alignment horizontal="center" vertical="center"/>
    </xf>
    <xf numFmtId="0" fontId="28" fillId="81" borderId="325" xfId="0" applyFont="1" applyFill="1" applyBorder="1" applyAlignment="1">
      <alignment horizontal="center" vertical="center"/>
    </xf>
    <xf numFmtId="0" fontId="28" fillId="39" borderId="325" xfId="0" applyFont="1" applyFill="1" applyBorder="1" applyAlignment="1">
      <alignment horizontal="center" vertical="center"/>
    </xf>
    <xf numFmtId="0" fontId="28" fillId="39" borderId="324" xfId="0" applyFont="1" applyFill="1" applyBorder="1" applyAlignment="1">
      <alignment horizontal="center" vertical="center"/>
    </xf>
    <xf numFmtId="0" fontId="39" fillId="24" borderId="305" xfId="0" applyFont="1" applyFill="1" applyBorder="1" applyAlignment="1">
      <alignment horizontal="left" vertical="center" indent="1"/>
    </xf>
    <xf numFmtId="0" fontId="39" fillId="24" borderId="263" xfId="0" applyFont="1" applyFill="1" applyBorder="1" applyAlignment="1">
      <alignment horizontal="left" vertical="center" indent="1"/>
    </xf>
    <xf numFmtId="0" fontId="38" fillId="68" borderId="251" xfId="0" applyFont="1" applyFill="1" applyBorder="1" applyAlignment="1">
      <alignment vertical="center"/>
    </xf>
    <xf numFmtId="0" fontId="38" fillId="68" borderId="305" xfId="0" applyFont="1" applyFill="1" applyBorder="1" applyAlignment="1">
      <alignment vertical="center"/>
    </xf>
    <xf numFmtId="0" fontId="47" fillId="69" borderId="219" xfId="0" applyFont="1" applyFill="1" applyBorder="1" applyAlignment="1">
      <alignment vertical="center"/>
    </xf>
    <xf numFmtId="0" fontId="38" fillId="68" borderId="315" xfId="0" applyFont="1" applyFill="1" applyBorder="1" applyAlignment="1">
      <alignment vertical="center"/>
    </xf>
    <xf numFmtId="0" fontId="27" fillId="69" borderId="25" xfId="0" applyFont="1" applyFill="1" applyBorder="1" applyAlignment="1">
      <alignment vertical="center"/>
    </xf>
    <xf numFmtId="0" fontId="47" fillId="67" borderId="25" xfId="0" applyFont="1" applyFill="1" applyBorder="1" applyAlignment="1">
      <alignment vertical="center"/>
    </xf>
    <xf numFmtId="1" fontId="33" fillId="83" borderId="46" xfId="0" applyNumberFormat="1" applyFont="1" applyFill="1" applyBorder="1" applyAlignment="1" applyProtection="1">
      <alignment horizontal="center" vertical="center" wrapText="1"/>
      <protection locked="0"/>
    </xf>
    <xf numFmtId="1" fontId="33" fillId="83" borderId="10" xfId="0" applyNumberFormat="1" applyFont="1" applyFill="1" applyBorder="1" applyAlignment="1" applyProtection="1">
      <alignment horizontal="center" vertical="center" wrapText="1"/>
      <protection locked="0"/>
    </xf>
    <xf numFmtId="1" fontId="33" fillId="83" borderId="65" xfId="0" applyNumberFormat="1" applyFont="1" applyFill="1" applyBorder="1" applyAlignment="1" applyProtection="1">
      <alignment horizontal="center" vertical="center" wrapText="1"/>
      <protection locked="0"/>
    </xf>
    <xf numFmtId="0" fontId="56" fillId="24" borderId="301" xfId="0" applyFont="1" applyFill="1" applyBorder="1" applyAlignment="1">
      <alignment horizontal="center" vertical="center" shrinkToFit="1"/>
    </xf>
    <xf numFmtId="0" fontId="28" fillId="24" borderId="262" xfId="0" applyFont="1" applyFill="1" applyBorder="1" applyAlignment="1">
      <alignment horizontal="center" vertical="center" wrapText="1"/>
    </xf>
    <xf numFmtId="0" fontId="56" fillId="24" borderId="301" xfId="0" applyFont="1" applyFill="1" applyBorder="1" applyAlignment="1">
      <alignment horizontal="center" vertical="center"/>
    </xf>
    <xf numFmtId="2" fontId="39" fillId="83" borderId="250" xfId="0" applyNumberFormat="1" applyFont="1" applyFill="1" applyBorder="1" applyAlignment="1" applyProtection="1">
      <alignment horizontal="center" vertical="center" shrinkToFit="1"/>
      <protection locked="0"/>
    </xf>
    <xf numFmtId="2" fontId="39" fillId="83" borderId="301" xfId="0" applyNumberFormat="1" applyFont="1" applyFill="1" applyBorder="1" applyAlignment="1" applyProtection="1">
      <alignment horizontal="center" vertical="center" shrinkToFit="1"/>
      <protection locked="0"/>
    </xf>
    <xf numFmtId="0" fontId="56" fillId="24" borderId="251" xfId="0" applyFont="1" applyFill="1" applyBorder="1" applyAlignment="1">
      <alignment horizontal="left" vertical="center" indent="1"/>
    </xf>
    <xf numFmtId="0" fontId="52" fillId="24" borderId="325" xfId="0" applyFont="1" applyFill="1" applyBorder="1" applyAlignment="1">
      <alignment horizontal="left" vertical="center" wrapText="1" indent="1"/>
    </xf>
    <xf numFmtId="0" fontId="17" fillId="24" borderId="324" xfId="0" applyFont="1" applyFill="1" applyBorder="1" applyAlignment="1">
      <alignment horizontal="center" vertical="center"/>
    </xf>
    <xf numFmtId="0" fontId="17" fillId="24" borderId="325" xfId="0" applyFont="1" applyFill="1" applyBorder="1" applyAlignment="1">
      <alignment horizontal="center" vertical="center"/>
    </xf>
    <xf numFmtId="0" fontId="47" fillId="24" borderId="325" xfId="0" applyFont="1" applyFill="1" applyBorder="1" applyAlignment="1">
      <alignment horizontal="left" vertical="center" wrapText="1" indent="1"/>
    </xf>
    <xf numFmtId="4" fontId="15" fillId="14" borderId="251" xfId="0" applyNumberFormat="1" applyFont="1" applyFill="1" applyBorder="1" applyAlignment="1">
      <alignment horizontal="center" vertical="center"/>
    </xf>
    <xf numFmtId="4" fontId="15" fillId="14" borderId="301" xfId="0" applyNumberFormat="1" applyFont="1" applyFill="1" applyBorder="1" applyAlignment="1" applyProtection="1">
      <alignment horizontal="center" vertical="center"/>
    </xf>
    <xf numFmtId="0" fontId="15" fillId="24" borderId="324" xfId="0" applyFont="1" applyFill="1" applyBorder="1" applyAlignment="1">
      <alignment horizontal="center" vertical="center"/>
    </xf>
    <xf numFmtId="0" fontId="15" fillId="24" borderId="325" xfId="0" applyFont="1" applyFill="1" applyBorder="1" applyAlignment="1">
      <alignment horizontal="center" vertical="center"/>
    </xf>
    <xf numFmtId="0" fontId="30" fillId="0" borderId="0" xfId="0" applyFont="1" applyAlignment="1"/>
    <xf numFmtId="0" fontId="46" fillId="19" borderId="23" xfId="0" applyFont="1" applyFill="1" applyBorder="1" applyAlignment="1">
      <alignment horizontal="center" vertical="center" shrinkToFit="1"/>
    </xf>
    <xf numFmtId="0" fontId="37" fillId="19" borderId="221" xfId="0" applyFont="1" applyFill="1" applyBorder="1" applyAlignment="1">
      <alignment horizontal="right" vertical="center" indent="1"/>
    </xf>
    <xf numFmtId="0" fontId="47" fillId="19" borderId="221" xfId="0" applyFont="1" applyFill="1" applyBorder="1" applyAlignment="1">
      <alignment horizontal="left" vertical="center" indent="1"/>
    </xf>
    <xf numFmtId="0" fontId="33" fillId="74" borderId="324" xfId="0" applyFont="1" applyFill="1" applyBorder="1" applyAlignment="1">
      <alignment horizontal="center" vertical="center"/>
    </xf>
    <xf numFmtId="0" fontId="33" fillId="74" borderId="324" xfId="0" applyFont="1" applyFill="1" applyBorder="1" applyAlignment="1">
      <alignment horizontal="center" vertical="center" wrapText="1"/>
    </xf>
    <xf numFmtId="0" fontId="28" fillId="74" borderId="324" xfId="0" applyFont="1" applyFill="1" applyBorder="1" applyAlignment="1">
      <alignment horizontal="center" vertical="center"/>
    </xf>
    <xf numFmtId="0" fontId="28" fillId="74" borderId="324" xfId="0" applyFont="1" applyFill="1" applyBorder="1" applyAlignment="1">
      <alignment horizontal="center" vertical="center" wrapText="1"/>
    </xf>
    <xf numFmtId="0" fontId="39" fillId="74" borderId="320" xfId="0" applyFont="1" applyFill="1" applyBorder="1" applyAlignment="1">
      <alignment horizontal="center"/>
    </xf>
    <xf numFmtId="0" fontId="39" fillId="74" borderId="331" xfId="0" applyFont="1" applyFill="1" applyBorder="1" applyAlignment="1">
      <alignment horizontal="center"/>
    </xf>
    <xf numFmtId="0" fontId="33" fillId="74" borderId="238" xfId="0" applyFont="1" applyFill="1" applyBorder="1" applyAlignment="1"/>
    <xf numFmtId="0" fontId="33" fillId="74" borderId="239" xfId="0" applyFont="1" applyFill="1" applyBorder="1" applyAlignment="1"/>
    <xf numFmtId="0" fontId="28" fillId="85" borderId="320" xfId="0" applyFont="1" applyFill="1" applyBorder="1" applyAlignment="1">
      <alignment horizontal="center" vertical="center"/>
    </xf>
    <xf numFmtId="0" fontId="47" fillId="85" borderId="331" xfId="0" applyFont="1" applyFill="1" applyBorder="1" applyAlignment="1">
      <alignment horizontal="center" vertical="center" wrapText="1"/>
    </xf>
    <xf numFmtId="0" fontId="33" fillId="85" borderId="320" xfId="0" applyFont="1" applyFill="1" applyBorder="1" applyAlignment="1">
      <alignment horizontal="center" vertical="center"/>
    </xf>
    <xf numFmtId="0" fontId="39" fillId="85" borderId="320" xfId="0" applyFont="1" applyFill="1" applyBorder="1" applyAlignment="1"/>
    <xf numFmtId="0" fontId="39" fillId="85" borderId="331" xfId="0" applyFont="1" applyFill="1" applyBorder="1" applyAlignment="1"/>
    <xf numFmtId="0" fontId="39" fillId="85" borderId="238" xfId="0" applyFont="1" applyFill="1" applyBorder="1" applyAlignment="1"/>
    <xf numFmtId="0" fontId="39" fillId="85" borderId="241" xfId="0" applyFont="1" applyFill="1" applyBorder="1" applyAlignment="1"/>
    <xf numFmtId="0" fontId="39" fillId="82" borderId="230" xfId="0" applyFont="1" applyFill="1" applyBorder="1" applyAlignment="1">
      <alignment horizontal="center" vertical="center" wrapText="1" shrinkToFit="1"/>
    </xf>
    <xf numFmtId="0" fontId="37" fillId="82" borderId="350" xfId="0" applyFont="1" applyFill="1" applyBorder="1" applyAlignment="1">
      <alignment vertical="center"/>
    </xf>
    <xf numFmtId="0" fontId="37" fillId="82" borderId="335" xfId="0" applyFont="1" applyFill="1" applyBorder="1" applyAlignment="1">
      <alignment vertical="center"/>
    </xf>
    <xf numFmtId="0" fontId="0" fillId="82" borderId="346" xfId="0" applyFont="1" applyFill="1" applyBorder="1" applyAlignment="1">
      <alignment horizontal="left" vertical="center"/>
    </xf>
    <xf numFmtId="0" fontId="0" fillId="82" borderId="344" xfId="0" applyFont="1" applyFill="1" applyBorder="1" applyAlignment="1">
      <alignment horizontal="right" vertical="center"/>
    </xf>
    <xf numFmtId="0" fontId="0" fillId="9" borderId="89" xfId="0" applyFont="1" applyFill="1" applyBorder="1" applyAlignment="1">
      <alignment horizontal="center" vertical="center"/>
    </xf>
    <xf numFmtId="0" fontId="39" fillId="82" borderId="340" xfId="0" applyFont="1" applyFill="1" applyBorder="1" applyAlignment="1">
      <alignment horizontal="center" vertical="center" shrinkToFit="1"/>
    </xf>
    <xf numFmtId="0" fontId="39" fillId="82" borderId="353" xfId="0" applyFont="1" applyFill="1" applyBorder="1" applyAlignment="1">
      <alignment horizontal="center" vertical="center" wrapText="1" shrinkToFit="1"/>
    </xf>
    <xf numFmtId="0" fontId="37" fillId="87" borderId="83" xfId="0" applyFont="1" applyFill="1" applyBorder="1" applyAlignment="1">
      <alignment horizontal="center" vertical="center" wrapText="1"/>
    </xf>
    <xf numFmtId="0" fontId="37" fillId="87" borderId="31" xfId="0" applyFont="1" applyFill="1" applyBorder="1" applyAlignment="1">
      <alignment horizontal="center" vertical="center" wrapText="1"/>
    </xf>
    <xf numFmtId="0" fontId="37" fillId="87" borderId="65" xfId="0" applyFont="1" applyFill="1" applyBorder="1" applyAlignment="1">
      <alignment horizontal="center" vertical="center" wrapText="1"/>
    </xf>
    <xf numFmtId="0" fontId="37" fillId="87" borderId="47" xfId="0" applyFont="1" applyFill="1" applyBorder="1" applyAlignment="1">
      <alignment horizontal="center" vertical="center" wrapText="1"/>
    </xf>
    <xf numFmtId="0" fontId="38" fillId="87" borderId="35" xfId="0" applyFont="1" applyFill="1" applyBorder="1" applyAlignment="1">
      <alignment horizontal="center" vertical="center" shrinkToFit="1"/>
    </xf>
    <xf numFmtId="0" fontId="38" fillId="87" borderId="36" xfId="0" applyFont="1" applyFill="1" applyBorder="1" applyAlignment="1">
      <alignment horizontal="center" vertical="center" shrinkToFit="1"/>
    </xf>
    <xf numFmtId="0" fontId="0" fillId="84" borderId="35" xfId="0" applyFont="1" applyFill="1" applyBorder="1" applyAlignment="1">
      <alignment horizontal="center" vertical="center"/>
    </xf>
    <xf numFmtId="0" fontId="0" fillId="84" borderId="37" xfId="0" applyFont="1" applyFill="1" applyBorder="1" applyAlignment="1">
      <alignment horizontal="center" vertical="center"/>
    </xf>
    <xf numFmtId="0" fontId="0" fillId="84" borderId="38" xfId="0" applyFont="1" applyFill="1" applyBorder="1" applyAlignment="1">
      <alignment horizontal="center" vertical="center"/>
    </xf>
    <xf numFmtId="0" fontId="37" fillId="87" borderId="80" xfId="0" applyFont="1" applyFill="1" applyBorder="1" applyAlignment="1">
      <alignment horizontal="center" vertical="center" wrapText="1"/>
    </xf>
    <xf numFmtId="0" fontId="37" fillId="87" borderId="38" xfId="0" applyFont="1" applyFill="1" applyBorder="1" applyAlignment="1">
      <alignment horizontal="center" vertical="center" wrapText="1"/>
    </xf>
    <xf numFmtId="0" fontId="46" fillId="87" borderId="85" xfId="0" applyFont="1" applyFill="1" applyBorder="1" applyAlignment="1"/>
    <xf numFmtId="0" fontId="46" fillId="87" borderId="55" xfId="0" applyFont="1" applyFill="1" applyBorder="1" applyAlignment="1"/>
    <xf numFmtId="0" fontId="0" fillId="82" borderId="350" xfId="0" applyFont="1" applyFill="1" applyBorder="1" applyAlignment="1">
      <alignment horizontal="left" vertical="center"/>
    </xf>
    <xf numFmtId="0" fontId="0" fillId="82" borderId="335" xfId="0" applyFont="1" applyFill="1" applyBorder="1" applyAlignment="1">
      <alignment horizontal="right" vertical="center"/>
    </xf>
    <xf numFmtId="0" fontId="0" fillId="9" borderId="33" xfId="0" applyFont="1" applyFill="1" applyBorder="1" applyAlignment="1">
      <alignment horizontal="center" vertical="center"/>
    </xf>
    <xf numFmtId="0" fontId="47" fillId="74" borderId="159" xfId="0" applyFont="1" applyFill="1" applyBorder="1" applyAlignment="1">
      <alignment horizontal="center" vertical="center" wrapText="1"/>
    </xf>
    <xf numFmtId="0" fontId="47" fillId="74" borderId="356" xfId="0" applyFont="1" applyFill="1" applyBorder="1" applyAlignment="1">
      <alignment horizontal="center" vertical="center" wrapText="1"/>
    </xf>
    <xf numFmtId="0" fontId="47" fillId="85" borderId="159" xfId="0" applyFont="1" applyFill="1" applyBorder="1" applyAlignment="1">
      <alignment horizontal="center" vertical="center" wrapText="1"/>
    </xf>
    <xf numFmtId="0" fontId="47" fillId="85" borderId="160" xfId="0" applyFont="1" applyFill="1" applyBorder="1" applyAlignment="1">
      <alignment horizontal="center" vertical="center" wrapText="1"/>
    </xf>
    <xf numFmtId="0" fontId="33" fillId="74" borderId="328" xfId="0" applyFont="1" applyFill="1" applyBorder="1" applyAlignment="1">
      <alignment horizontal="center" vertical="center"/>
    </xf>
    <xf numFmtId="0" fontId="27" fillId="61" borderId="159" xfId="0" applyFont="1" applyFill="1" applyBorder="1" applyAlignment="1">
      <alignment horizontal="center" vertical="center"/>
    </xf>
    <xf numFmtId="0" fontId="38" fillId="47" borderId="159" xfId="0" applyFont="1" applyFill="1" applyBorder="1" applyAlignment="1">
      <alignment vertical="center"/>
    </xf>
    <xf numFmtId="0" fontId="38" fillId="47" borderId="320" xfId="0" applyFont="1" applyFill="1" applyBorder="1" applyAlignment="1">
      <alignment horizontal="center" vertical="center"/>
    </xf>
    <xf numFmtId="0" fontId="129" fillId="61" borderId="161" xfId="0" applyFont="1" applyFill="1" applyBorder="1" applyAlignment="1">
      <alignment horizontal="center" vertical="center"/>
    </xf>
    <xf numFmtId="0" fontId="27" fillId="61" borderId="161" xfId="0" applyFont="1" applyFill="1" applyBorder="1" applyAlignment="1">
      <alignment horizontal="center" vertical="center"/>
    </xf>
    <xf numFmtId="0" fontId="38" fillId="47" borderId="161" xfId="0" applyFont="1" applyFill="1" applyBorder="1" applyAlignment="1">
      <alignment horizontal="center" vertical="center"/>
    </xf>
    <xf numFmtId="1" fontId="38" fillId="79" borderId="158" xfId="0" applyNumberFormat="1" applyFont="1" applyFill="1" applyBorder="1" applyAlignment="1">
      <alignment horizontal="center" vertical="center"/>
    </xf>
    <xf numFmtId="1" fontId="38" fillId="79" borderId="159" xfId="0" applyNumberFormat="1" applyFont="1" applyFill="1" applyBorder="1" applyAlignment="1">
      <alignment horizontal="center" vertical="center"/>
    </xf>
    <xf numFmtId="1" fontId="38" fillId="79" borderId="160" xfId="0" applyNumberFormat="1" applyFont="1" applyFill="1" applyBorder="1" applyAlignment="1">
      <alignment horizontal="center" vertical="center"/>
    </xf>
    <xf numFmtId="0" fontId="27" fillId="74" borderId="158" xfId="0" applyFont="1" applyFill="1" applyBorder="1" applyAlignment="1">
      <alignment horizontal="center" vertical="center"/>
    </xf>
    <xf numFmtId="0" fontId="27" fillId="74" borderId="159" xfId="0" applyFont="1" applyFill="1" applyBorder="1" applyAlignment="1">
      <alignment horizontal="center" vertical="center"/>
    </xf>
    <xf numFmtId="0" fontId="27" fillId="74" borderId="160" xfId="0" applyFont="1" applyFill="1" applyBorder="1" applyAlignment="1">
      <alignment horizontal="center" vertical="center"/>
    </xf>
    <xf numFmtId="0" fontId="114" fillId="79" borderId="158" xfId="0" applyFont="1" applyFill="1" applyBorder="1" applyAlignment="1">
      <alignment horizontal="center" vertical="center"/>
    </xf>
    <xf numFmtId="0" fontId="114" fillId="79" borderId="160" xfId="0" applyFont="1" applyFill="1" applyBorder="1" applyAlignment="1">
      <alignment horizontal="center" vertical="center"/>
    </xf>
    <xf numFmtId="1" fontId="38" fillId="47" borderId="158" xfId="0" applyNumberFormat="1" applyFont="1" applyFill="1" applyBorder="1" applyAlignment="1">
      <alignment horizontal="center" vertical="center"/>
    </xf>
    <xf numFmtId="1" fontId="38" fillId="47" borderId="159" xfId="0" applyNumberFormat="1" applyFont="1" applyFill="1" applyBorder="1" applyAlignment="1">
      <alignment horizontal="center" vertical="center"/>
    </xf>
    <xf numFmtId="1" fontId="38" fillId="47" borderId="160" xfId="0" applyNumberFormat="1" applyFont="1" applyFill="1" applyBorder="1" applyAlignment="1">
      <alignment horizontal="center" vertical="center"/>
    </xf>
    <xf numFmtId="0" fontId="38" fillId="47" borderId="160" xfId="0" applyFont="1" applyFill="1" applyBorder="1" applyAlignment="1">
      <alignment horizontal="center" vertical="center"/>
    </xf>
    <xf numFmtId="49" fontId="27" fillId="85" borderId="158" xfId="0" applyNumberFormat="1" applyFont="1" applyFill="1" applyBorder="1" applyAlignment="1">
      <alignment horizontal="center" vertical="center"/>
    </xf>
    <xf numFmtId="0" fontId="27" fillId="85" borderId="159" xfId="0" applyFont="1" applyFill="1" applyBorder="1" applyAlignment="1">
      <alignment horizontal="center" vertical="center"/>
    </xf>
    <xf numFmtId="1" fontId="27" fillId="85" borderId="160" xfId="0" applyNumberFormat="1" applyFont="1" applyFill="1" applyBorder="1" applyAlignment="1">
      <alignment horizontal="center" vertical="center"/>
    </xf>
    <xf numFmtId="0" fontId="114" fillId="47" borderId="158" xfId="0" applyFont="1" applyFill="1" applyBorder="1" applyAlignment="1">
      <alignment horizontal="center" vertical="center"/>
    </xf>
    <xf numFmtId="0" fontId="114" fillId="47" borderId="160" xfId="0" applyFont="1" applyFill="1" applyBorder="1" applyAlignment="1">
      <alignment horizontal="center" vertical="center"/>
    </xf>
    <xf numFmtId="1" fontId="38" fillId="79" borderId="319" xfId="0" applyNumberFormat="1" applyFont="1" applyFill="1" applyBorder="1" applyAlignment="1">
      <alignment horizontal="center" vertical="center"/>
    </xf>
    <xf numFmtId="1" fontId="38" fillId="79" borderId="320" xfId="0" applyNumberFormat="1" applyFont="1" applyFill="1" applyBorder="1" applyAlignment="1">
      <alignment horizontal="center" vertical="center"/>
    </xf>
    <xf numFmtId="1" fontId="38" fillId="79" borderId="331" xfId="0" applyNumberFormat="1" applyFont="1" applyFill="1" applyBorder="1" applyAlignment="1">
      <alignment horizontal="center" vertical="center"/>
    </xf>
    <xf numFmtId="0" fontId="27" fillId="74" borderId="319" xfId="0" applyFont="1" applyFill="1" applyBorder="1" applyAlignment="1">
      <alignment horizontal="center" vertical="center"/>
    </xf>
    <xf numFmtId="0" fontId="27" fillId="74" borderId="320" xfId="0" applyFont="1" applyFill="1" applyBorder="1" applyAlignment="1">
      <alignment horizontal="center" vertical="center"/>
    </xf>
    <xf numFmtId="0" fontId="27" fillId="74" borderId="331" xfId="0" applyFont="1" applyFill="1" applyBorder="1" applyAlignment="1">
      <alignment horizontal="center" vertical="center"/>
    </xf>
    <xf numFmtId="0" fontId="114" fillId="79" borderId="319" xfId="0" applyFont="1" applyFill="1" applyBorder="1" applyAlignment="1">
      <alignment horizontal="center" vertical="center"/>
    </xf>
    <xf numFmtId="0" fontId="114" fillId="79" borderId="331" xfId="0" applyFont="1" applyFill="1" applyBorder="1" applyAlignment="1">
      <alignment horizontal="center" vertical="center"/>
    </xf>
    <xf numFmtId="1" fontId="38" fillId="47" borderId="319" xfId="0" applyNumberFormat="1" applyFont="1" applyFill="1" applyBorder="1" applyAlignment="1">
      <alignment horizontal="center" vertical="center"/>
    </xf>
    <xf numFmtId="1" fontId="38" fillId="47" borderId="320" xfId="0" applyNumberFormat="1" applyFont="1" applyFill="1" applyBorder="1" applyAlignment="1">
      <alignment horizontal="center" vertical="center"/>
    </xf>
    <xf numFmtId="1" fontId="38" fillId="47" borderId="331" xfId="0" applyNumberFormat="1" applyFont="1" applyFill="1" applyBorder="1" applyAlignment="1">
      <alignment horizontal="center" vertical="center"/>
    </xf>
    <xf numFmtId="0" fontId="38" fillId="47" borderId="331" xfId="0" applyFont="1" applyFill="1" applyBorder="1" applyAlignment="1">
      <alignment horizontal="center" vertical="center"/>
    </xf>
    <xf numFmtId="49" fontId="27" fillId="85" borderId="319" xfId="0" applyNumberFormat="1" applyFont="1" applyFill="1" applyBorder="1" applyAlignment="1">
      <alignment horizontal="center" vertical="center"/>
    </xf>
    <xf numFmtId="0" fontId="27" fillId="85" borderId="320" xfId="0" applyFont="1" applyFill="1" applyBorder="1" applyAlignment="1">
      <alignment horizontal="center" vertical="center"/>
    </xf>
    <xf numFmtId="1" fontId="27" fillId="85" borderId="331" xfId="0" applyNumberFormat="1" applyFont="1" applyFill="1" applyBorder="1" applyAlignment="1">
      <alignment horizontal="center" vertical="center"/>
    </xf>
    <xf numFmtId="0" fontId="114" fillId="47" borderId="319" xfId="0" applyFont="1" applyFill="1" applyBorder="1" applyAlignment="1">
      <alignment horizontal="center" vertical="center"/>
    </xf>
    <xf numFmtId="0" fontId="114" fillId="47" borderId="331" xfId="0" applyFont="1" applyFill="1" applyBorder="1" applyAlignment="1">
      <alignment horizontal="center" vertical="center"/>
    </xf>
    <xf numFmtId="0" fontId="114" fillId="47" borderId="320" xfId="0" applyFont="1" applyFill="1" applyBorder="1" applyAlignment="1">
      <alignment horizontal="center" vertical="center"/>
    </xf>
    <xf numFmtId="1" fontId="38" fillId="79" borderId="231" xfId="0" applyNumberFormat="1" applyFont="1" applyFill="1" applyBorder="1" applyAlignment="1">
      <alignment horizontal="center" vertical="center"/>
    </xf>
    <xf numFmtId="1" fontId="38" fillId="79" borderId="161" xfId="0" applyNumberFormat="1" applyFont="1" applyFill="1" applyBorder="1" applyAlignment="1">
      <alignment horizontal="center" vertical="center"/>
    </xf>
    <xf numFmtId="1" fontId="38" fillId="79" borderId="232" xfId="0" applyNumberFormat="1" applyFont="1" applyFill="1" applyBorder="1" applyAlignment="1">
      <alignment horizontal="center" vertical="center"/>
    </xf>
    <xf numFmtId="0" fontId="27" fillId="74" borderId="231" xfId="0" applyFont="1" applyFill="1" applyBorder="1" applyAlignment="1">
      <alignment horizontal="center" vertical="center"/>
    </xf>
    <xf numFmtId="0" fontId="27" fillId="74" borderId="161" xfId="0" applyFont="1" applyFill="1" applyBorder="1" applyAlignment="1">
      <alignment horizontal="center" vertical="center"/>
    </xf>
    <xf numFmtId="0" fontId="27" fillId="74" borderId="232" xfId="0" applyFont="1" applyFill="1" applyBorder="1" applyAlignment="1">
      <alignment horizontal="center" vertical="center"/>
    </xf>
    <xf numFmtId="0" fontId="114" fillId="79" borderId="231" xfId="0" applyFont="1" applyFill="1" applyBorder="1" applyAlignment="1">
      <alignment horizontal="center" vertical="center"/>
    </xf>
    <xf numFmtId="0" fontId="114" fillId="79" borderId="232" xfId="0" applyFont="1" applyFill="1" applyBorder="1" applyAlignment="1">
      <alignment horizontal="center" vertical="center"/>
    </xf>
    <xf numFmtId="1" fontId="38" fillId="47" borderId="231" xfId="0" applyNumberFormat="1" applyFont="1" applyFill="1" applyBorder="1" applyAlignment="1">
      <alignment horizontal="center" vertical="center"/>
    </xf>
    <xf numFmtId="1" fontId="38" fillId="47" borderId="161" xfId="0" applyNumberFormat="1" applyFont="1" applyFill="1" applyBorder="1" applyAlignment="1">
      <alignment horizontal="center" vertical="center"/>
    </xf>
    <xf numFmtId="1" fontId="38" fillId="47" borderId="232" xfId="0" applyNumberFormat="1" applyFont="1" applyFill="1" applyBorder="1" applyAlignment="1">
      <alignment horizontal="center" vertical="center"/>
    </xf>
    <xf numFmtId="0" fontId="38" fillId="47" borderId="232" xfId="0" applyFont="1" applyFill="1" applyBorder="1" applyAlignment="1">
      <alignment horizontal="center" vertical="center"/>
    </xf>
    <xf numFmtId="49" fontId="27" fillId="85" borderId="231" xfId="0" applyNumberFormat="1" applyFont="1" applyFill="1" applyBorder="1" applyAlignment="1">
      <alignment horizontal="center" vertical="center"/>
    </xf>
    <xf numFmtId="0" fontId="27" fillId="85" borderId="161" xfId="0" applyFont="1" applyFill="1" applyBorder="1" applyAlignment="1">
      <alignment horizontal="center" vertical="center"/>
    </xf>
    <xf numFmtId="1" fontId="27" fillId="85" borderId="232" xfId="0" applyNumberFormat="1" applyFont="1" applyFill="1" applyBorder="1" applyAlignment="1">
      <alignment horizontal="center" vertical="center"/>
    </xf>
    <xf numFmtId="0" fontId="38" fillId="47" borderId="231" xfId="11" applyFont="1" applyFill="1" applyBorder="1" applyAlignment="1">
      <alignment horizontal="center" vertical="center"/>
    </xf>
    <xf numFmtId="0" fontId="38" fillId="61" borderId="159" xfId="0" applyFont="1" applyFill="1" applyBorder="1" applyAlignment="1">
      <alignment horizontal="center" vertical="center"/>
    </xf>
    <xf numFmtId="0" fontId="27" fillId="9" borderId="158" xfId="0" applyFont="1" applyFill="1" applyBorder="1" applyAlignment="1">
      <alignment horizontal="center" vertical="center"/>
    </xf>
    <xf numFmtId="0" fontId="27" fillId="9" borderId="160" xfId="0" applyFont="1" applyFill="1" applyBorder="1" applyAlignment="1">
      <alignment horizontal="center" vertical="center"/>
    </xf>
    <xf numFmtId="0" fontId="38" fillId="61" borderId="320" xfId="0" applyFont="1" applyFill="1" applyBorder="1" applyAlignment="1">
      <alignment horizontal="center" vertical="center"/>
    </xf>
    <xf numFmtId="0" fontId="27" fillId="9" borderId="319" xfId="0" applyFont="1" applyFill="1" applyBorder="1" applyAlignment="1">
      <alignment horizontal="center" vertical="center"/>
    </xf>
    <xf numFmtId="0" fontId="27" fillId="9" borderId="331" xfId="0" applyFont="1" applyFill="1" applyBorder="1" applyAlignment="1">
      <alignment horizontal="center" vertical="center"/>
    </xf>
    <xf numFmtId="0" fontId="38" fillId="61" borderId="325" xfId="0" applyFont="1" applyFill="1" applyBorder="1" applyAlignment="1">
      <alignment horizontal="center" vertical="center"/>
    </xf>
    <xf numFmtId="0" fontId="38" fillId="61" borderId="355" xfId="0" applyFont="1" applyFill="1" applyBorder="1" applyAlignment="1">
      <alignment horizontal="center" vertical="center"/>
    </xf>
    <xf numFmtId="0" fontId="129" fillId="61" borderId="333" xfId="0" applyFont="1" applyFill="1" applyBorder="1" applyAlignment="1">
      <alignment horizontal="center" vertical="center"/>
    </xf>
    <xf numFmtId="0" fontId="129" fillId="61" borderId="160" xfId="0" applyFont="1" applyFill="1" applyBorder="1" applyAlignment="1">
      <alignment vertical="center"/>
    </xf>
    <xf numFmtId="0" fontId="129" fillId="61" borderId="331" xfId="0" applyFont="1" applyFill="1" applyBorder="1" applyAlignment="1">
      <alignment vertical="center"/>
    </xf>
    <xf numFmtId="0" fontId="129" fillId="70" borderId="331" xfId="0" applyFont="1" applyFill="1" applyBorder="1" applyAlignment="1">
      <alignment vertical="center"/>
    </xf>
    <xf numFmtId="0" fontId="129" fillId="70" borderId="354" xfId="0" applyFont="1" applyFill="1" applyBorder="1" applyAlignment="1">
      <alignment vertical="center"/>
    </xf>
    <xf numFmtId="0" fontId="27" fillId="61" borderId="328" xfId="0" applyFont="1" applyFill="1" applyBorder="1" applyAlignment="1">
      <alignment horizontal="left" vertical="center"/>
    </xf>
    <xf numFmtId="0" fontId="129" fillId="61" borderId="358" xfId="0" applyFont="1" applyFill="1" applyBorder="1" applyAlignment="1">
      <alignment horizontal="left" vertical="center"/>
    </xf>
    <xf numFmtId="0" fontId="27" fillId="70" borderId="328" xfId="0" applyFont="1" applyFill="1" applyBorder="1" applyAlignment="1">
      <alignment horizontal="left" vertical="center"/>
    </xf>
    <xf numFmtId="0" fontId="129" fillId="70" borderId="358" xfId="0" applyFont="1" applyFill="1" applyBorder="1" applyAlignment="1">
      <alignment horizontal="left" vertical="center"/>
    </xf>
    <xf numFmtId="0" fontId="27" fillId="70" borderId="224" xfId="0" applyFont="1" applyFill="1" applyBorder="1" applyAlignment="1">
      <alignment horizontal="left" vertical="center"/>
    </xf>
    <xf numFmtId="0" fontId="129" fillId="70" borderId="359" xfId="0" applyFont="1" applyFill="1" applyBorder="1" applyAlignment="1">
      <alignment horizontal="left" vertical="center"/>
    </xf>
    <xf numFmtId="0" fontId="0" fillId="9" borderId="26" xfId="0" applyFont="1" applyFill="1" applyBorder="1" applyAlignment="1">
      <alignment horizontal="center" vertical="center"/>
    </xf>
    <xf numFmtId="0" fontId="28" fillId="66" borderId="226" xfId="0" applyFont="1" applyFill="1" applyBorder="1" applyAlignment="1">
      <alignment horizontal="center" vertical="center"/>
    </xf>
    <xf numFmtId="0" fontId="28" fillId="66" borderId="229" xfId="0" applyFont="1" applyFill="1" applyBorder="1" applyAlignment="1">
      <alignment horizontal="center" vertical="center"/>
    </xf>
    <xf numFmtId="0" fontId="0" fillId="66" borderId="326" xfId="0" applyFont="1" applyFill="1" applyBorder="1" applyAlignment="1">
      <alignment horizontal="center" vertical="center" shrinkToFit="1"/>
    </xf>
    <xf numFmtId="0" fontId="0" fillId="66" borderId="227" xfId="0" applyFont="1" applyFill="1" applyBorder="1" applyAlignment="1">
      <alignment horizontal="center" vertical="center" shrinkToFit="1"/>
    </xf>
    <xf numFmtId="0" fontId="0" fillId="66" borderId="229" xfId="0" applyFont="1" applyFill="1" applyBorder="1" applyAlignment="1">
      <alignment horizontal="center" vertical="center" shrinkToFit="1"/>
    </xf>
    <xf numFmtId="0" fontId="37" fillId="66" borderId="226" xfId="0" applyFont="1" applyFill="1" applyBorder="1" applyAlignment="1">
      <alignment horizontal="center" vertical="center" wrapText="1"/>
    </xf>
    <xf numFmtId="0" fontId="37" fillId="66" borderId="228" xfId="0" applyFont="1" applyFill="1" applyBorder="1" applyAlignment="1">
      <alignment horizontal="center" vertical="center" wrapText="1"/>
    </xf>
    <xf numFmtId="0" fontId="129"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7" fillId="68" borderId="175" xfId="0" quotePrefix="1" applyFont="1" applyFill="1" applyBorder="1" applyAlignment="1">
      <alignment horizontal="center" vertical="center"/>
    </xf>
    <xf numFmtId="0" fontId="38" fillId="9" borderId="209" xfId="0" applyFont="1" applyFill="1" applyBorder="1" applyAlignment="1">
      <alignment horizontal="center" vertical="center" shrinkToFit="1"/>
    </xf>
    <xf numFmtId="0" fontId="0" fillId="9" borderId="85" xfId="0" applyFont="1" applyFill="1" applyBorder="1" applyAlignment="1">
      <alignment horizontal="center" vertical="center"/>
    </xf>
    <xf numFmtId="0" fontId="38" fillId="67" borderId="85" xfId="0" applyFont="1" applyFill="1" applyBorder="1" applyAlignment="1">
      <alignment horizontal="center" vertical="center" shrinkToFit="1"/>
    </xf>
    <xf numFmtId="0" fontId="38" fillId="67" borderId="66" xfId="0" applyFont="1" applyFill="1" applyBorder="1" applyAlignment="1">
      <alignment horizontal="center" vertical="center" shrinkToFit="1"/>
    </xf>
    <xf numFmtId="0" fontId="38" fillId="67" borderId="248" xfId="0" applyFont="1" applyFill="1" applyBorder="1" applyAlignment="1">
      <alignment horizontal="center" vertical="center" shrinkToFit="1"/>
    </xf>
    <xf numFmtId="0" fontId="38" fillId="67" borderId="170" xfId="0" applyFont="1" applyFill="1" applyBorder="1" applyAlignment="1">
      <alignment horizontal="center" vertical="center" shrinkToFit="1"/>
    </xf>
    <xf numFmtId="0" fontId="0" fillId="9" borderId="0" xfId="0" applyFont="1" applyFill="1" applyBorder="1" applyAlignment="1">
      <alignment horizontal="center" vertical="center"/>
    </xf>
    <xf numFmtId="0" fontId="37" fillId="87" borderId="0" xfId="0" applyFont="1" applyFill="1" applyBorder="1" applyAlignment="1">
      <alignment horizontal="center" vertical="center" wrapText="1"/>
    </xf>
    <xf numFmtId="0" fontId="37" fillId="87" borderId="50" xfId="0" applyFont="1" applyFill="1" applyBorder="1" applyAlignment="1">
      <alignment horizontal="center" vertical="center" wrapText="1"/>
    </xf>
    <xf numFmtId="0" fontId="37" fillId="87" borderId="248" xfId="0" applyFont="1" applyFill="1" applyBorder="1" applyAlignment="1">
      <alignment horizontal="center" vertical="center" wrapText="1"/>
    </xf>
    <xf numFmtId="0" fontId="37" fillId="87" borderId="86" xfId="0" applyFont="1" applyFill="1" applyBorder="1" applyAlignment="1">
      <alignment horizontal="center" vertical="center" wrapText="1"/>
    </xf>
    <xf numFmtId="0" fontId="37" fillId="29" borderId="94" xfId="0" applyFont="1" applyFill="1" applyBorder="1" applyAlignment="1">
      <alignment horizontal="center" vertical="center" wrapText="1"/>
    </xf>
    <xf numFmtId="0" fontId="37" fillId="29" borderId="93" xfId="0" applyFont="1" applyFill="1" applyBorder="1" applyAlignment="1">
      <alignment horizontal="center" vertical="center" wrapText="1"/>
    </xf>
    <xf numFmtId="0" fontId="37" fillId="29" borderId="89" xfId="0" applyFont="1" applyFill="1" applyBorder="1" applyAlignment="1">
      <alignment horizontal="center" vertical="center" wrapText="1"/>
    </xf>
    <xf numFmtId="0" fontId="37" fillId="29" borderId="90" xfId="0" applyFont="1" applyFill="1" applyBorder="1" applyAlignment="1">
      <alignment horizontal="center" vertical="center" wrapText="1"/>
    </xf>
    <xf numFmtId="0" fontId="46" fillId="29" borderId="248" xfId="0" applyFont="1" applyFill="1" applyBorder="1" applyAlignment="1"/>
    <xf numFmtId="0" fontId="0" fillId="66" borderId="289" xfId="0" applyFont="1" applyFill="1" applyBorder="1" applyAlignment="1">
      <alignment horizontal="center" vertical="center"/>
    </xf>
    <xf numFmtId="0" fontId="37" fillId="66" borderId="297" xfId="0" applyFont="1" applyFill="1" applyBorder="1" applyAlignment="1">
      <alignment horizontal="center" vertical="center"/>
    </xf>
    <xf numFmtId="0" fontId="37" fillId="66" borderId="291" xfId="0" applyFont="1" applyFill="1" applyBorder="1" applyAlignment="1">
      <alignment horizontal="center" vertical="center"/>
    </xf>
    <xf numFmtId="0" fontId="39" fillId="67" borderId="150" xfId="0" applyFont="1" applyFill="1" applyBorder="1" applyAlignment="1">
      <alignment horizontal="center" vertical="center"/>
    </xf>
    <xf numFmtId="0" fontId="39" fillId="67" borderId="128" xfId="0" applyFont="1" applyFill="1" applyBorder="1" applyAlignment="1">
      <alignment horizontal="center" vertical="center"/>
    </xf>
    <xf numFmtId="0" fontId="39" fillId="67" borderId="151" xfId="0" applyFont="1" applyFill="1" applyBorder="1" applyAlignment="1">
      <alignment horizontal="center" vertical="center"/>
    </xf>
    <xf numFmtId="0" fontId="47" fillId="82" borderId="151" xfId="0" applyFont="1" applyFill="1" applyBorder="1" applyAlignment="1">
      <alignment vertical="center"/>
    </xf>
    <xf numFmtId="0" fontId="47" fillId="82" borderId="328" xfId="0" applyFont="1" applyFill="1" applyBorder="1" applyAlignment="1">
      <alignment vertical="center"/>
    </xf>
    <xf numFmtId="0" fontId="47" fillId="82" borderId="364" xfId="0" applyFont="1" applyFill="1" applyBorder="1" applyAlignment="1">
      <alignment vertical="center"/>
    </xf>
    <xf numFmtId="0" fontId="46" fillId="82" borderId="150" xfId="0" applyFont="1" applyFill="1" applyBorder="1" applyAlignment="1">
      <alignment vertical="center"/>
    </xf>
    <xf numFmtId="0" fontId="62" fillId="67" borderId="132" xfId="0" applyFont="1" applyFill="1" applyBorder="1" applyAlignment="1">
      <alignment horizontal="left" vertical="center"/>
    </xf>
    <xf numFmtId="0" fontId="55" fillId="65" borderId="133" xfId="0" applyFont="1" applyFill="1" applyBorder="1" applyAlignment="1">
      <alignment vertical="center"/>
    </xf>
    <xf numFmtId="0" fontId="0" fillId="66" borderId="365" xfId="0" applyFont="1" applyFill="1" applyBorder="1" applyAlignment="1">
      <alignment horizontal="center" vertical="center"/>
    </xf>
    <xf numFmtId="0" fontId="62" fillId="67" borderId="143" xfId="0" applyFont="1" applyFill="1" applyBorder="1" applyAlignment="1">
      <alignment horizontal="left" vertical="center"/>
    </xf>
    <xf numFmtId="0" fontId="62" fillId="67" borderId="144" xfId="0" applyFont="1" applyFill="1" applyBorder="1" applyAlignment="1">
      <alignment horizontal="left" vertical="center"/>
    </xf>
    <xf numFmtId="0" fontId="37" fillId="67" borderId="136" xfId="0" applyFont="1" applyFill="1" applyBorder="1" applyAlignment="1">
      <alignment vertical="center"/>
    </xf>
    <xf numFmtId="0" fontId="37" fillId="67" borderId="221" xfId="0" applyFont="1" applyFill="1" applyBorder="1" applyAlignment="1">
      <alignment vertical="center"/>
    </xf>
    <xf numFmtId="0" fontId="38" fillId="68" borderId="320" xfId="0" applyFont="1" applyFill="1" applyBorder="1" applyAlignment="1">
      <alignment horizontal="center" vertical="center"/>
    </xf>
    <xf numFmtId="0" fontId="27" fillId="69" borderId="50" xfId="0" applyFont="1" applyFill="1" applyBorder="1" applyAlignment="1">
      <alignment vertical="center"/>
    </xf>
    <xf numFmtId="0" fontId="27" fillId="69" borderId="33" xfId="0" applyFont="1" applyFill="1" applyBorder="1" applyAlignment="1">
      <alignment vertical="center"/>
    </xf>
    <xf numFmtId="0" fontId="28" fillId="66" borderId="94" xfId="0" applyFont="1" applyFill="1" applyBorder="1" applyAlignment="1">
      <alignment horizontal="center" vertical="center"/>
    </xf>
    <xf numFmtId="0" fontId="0" fillId="66" borderId="50" xfId="0" applyFont="1" applyFill="1" applyBorder="1" applyAlignment="1">
      <alignment horizontal="center" vertical="center" shrinkToFit="1"/>
    </xf>
    <xf numFmtId="0" fontId="0" fillId="66" borderId="91" xfId="0" applyFont="1" applyFill="1" applyBorder="1" applyAlignment="1">
      <alignment horizontal="center" vertical="center" shrinkToFit="1"/>
    </xf>
    <xf numFmtId="0" fontId="0" fillId="66" borderId="34" xfId="0" applyFont="1" applyFill="1" applyBorder="1" applyAlignment="1">
      <alignment horizontal="center" vertical="center" shrinkToFit="1"/>
    </xf>
    <xf numFmtId="0" fontId="38" fillId="68" borderId="161" xfId="0" applyFont="1" applyFill="1" applyBorder="1" applyAlignment="1">
      <alignment horizontal="center" vertical="center"/>
    </xf>
    <xf numFmtId="0" fontId="38" fillId="68" borderId="324" xfId="0" applyFont="1" applyFill="1" applyBorder="1" applyAlignment="1">
      <alignment horizontal="center" vertical="center"/>
    </xf>
    <xf numFmtId="0" fontId="38" fillId="68" borderId="385" xfId="0" applyFont="1" applyFill="1" applyBorder="1" applyAlignment="1">
      <alignment horizontal="center" vertical="center"/>
    </xf>
    <xf numFmtId="0" fontId="38" fillId="68" borderId="334" xfId="0" applyFont="1" applyFill="1" applyBorder="1" applyAlignment="1">
      <alignment horizontal="center" vertical="center"/>
    </xf>
    <xf numFmtId="0" fontId="38" fillId="9" borderId="231" xfId="0" applyFont="1" applyFill="1" applyBorder="1" applyAlignment="1">
      <alignment vertical="center"/>
    </xf>
    <xf numFmtId="0" fontId="38" fillId="9" borderId="232" xfId="0" applyFont="1" applyFill="1" applyBorder="1" applyAlignment="1">
      <alignment vertical="center"/>
    </xf>
    <xf numFmtId="0" fontId="38" fillId="68" borderId="388" xfId="0" applyFont="1" applyFill="1" applyBorder="1" applyAlignment="1">
      <alignment horizontal="center" vertical="center"/>
    </xf>
    <xf numFmtId="0" fontId="0" fillId="9" borderId="297" xfId="0" applyFont="1" applyFill="1" applyBorder="1" applyAlignment="1">
      <alignment horizontal="center" vertical="center"/>
    </xf>
    <xf numFmtId="0" fontId="0" fillId="9" borderId="289" xfId="0" applyFont="1" applyFill="1" applyBorder="1" applyAlignment="1">
      <alignment horizontal="center" vertical="center"/>
    </xf>
    <xf numFmtId="0" fontId="86" fillId="14" borderId="0" xfId="0" applyFont="1" applyFill="1" applyBorder="1" applyAlignment="1">
      <alignment horizontal="left" vertical="center"/>
    </xf>
    <xf numFmtId="0" fontId="52" fillId="24" borderId="324" xfId="0" applyFont="1" applyFill="1" applyBorder="1" applyAlignment="1">
      <alignment horizontal="left" vertical="center" wrapText="1"/>
    </xf>
    <xf numFmtId="0" fontId="47" fillId="24" borderId="324" xfId="0" applyFont="1" applyFill="1" applyBorder="1" applyAlignment="1">
      <alignment horizontal="left" vertical="center" wrapText="1"/>
    </xf>
    <xf numFmtId="0" fontId="56" fillId="24" borderId="249" xfId="0" applyFont="1" applyFill="1" applyBorder="1" applyAlignment="1">
      <alignment horizontal="left" vertical="center"/>
    </xf>
    <xf numFmtId="0" fontId="39" fillId="24" borderId="11" xfId="0" applyFont="1" applyFill="1" applyBorder="1" applyAlignment="1">
      <alignment horizontal="left" vertical="center"/>
    </xf>
    <xf numFmtId="0" fontId="39" fillId="24" borderId="62" xfId="0" applyFont="1" applyFill="1" applyBorder="1" applyAlignment="1">
      <alignment horizontal="left" vertical="center"/>
    </xf>
    <xf numFmtId="0" fontId="30" fillId="14" borderId="0" xfId="0" applyFont="1" applyFill="1" applyAlignment="1"/>
    <xf numFmtId="0" fontId="37" fillId="19" borderId="136" xfId="0" applyFont="1" applyFill="1" applyBorder="1" applyAlignment="1">
      <alignment horizontal="left" vertical="center"/>
    </xf>
    <xf numFmtId="0" fontId="29" fillId="14" borderId="0" xfId="0" applyFont="1" applyFill="1" applyAlignment="1"/>
    <xf numFmtId="0" fontId="46" fillId="19" borderId="136" xfId="0" applyFont="1" applyFill="1" applyBorder="1" applyAlignment="1">
      <alignment horizontal="left" vertical="center"/>
    </xf>
    <xf numFmtId="0" fontId="149" fillId="81" borderId="299" xfId="0" applyFont="1" applyFill="1" applyBorder="1" applyAlignment="1">
      <alignment horizontal="left" vertical="center" indent="1"/>
    </xf>
    <xf numFmtId="0" fontId="38" fillId="68" borderId="321" xfId="0" applyFont="1" applyFill="1" applyBorder="1" applyAlignment="1">
      <alignment vertical="center"/>
    </xf>
    <xf numFmtId="0" fontId="38" fillId="68" borderId="259" xfId="0" applyFont="1" applyFill="1" applyBorder="1" applyAlignment="1">
      <alignment vertical="center"/>
    </xf>
    <xf numFmtId="0" fontId="38" fillId="68" borderId="158" xfId="0" applyFont="1" applyFill="1" applyBorder="1" applyAlignment="1">
      <alignment horizontal="center" vertical="center"/>
    </xf>
    <xf numFmtId="0" fontId="27" fillId="68" borderId="159" xfId="0" applyFont="1" applyFill="1" applyBorder="1" applyAlignment="1">
      <alignment horizontal="center" vertical="center"/>
    </xf>
    <xf numFmtId="0" fontId="38" fillId="68" borderId="159" xfId="0" applyFont="1" applyFill="1" applyBorder="1" applyAlignment="1">
      <alignment horizontal="center" vertical="center"/>
    </xf>
    <xf numFmtId="0" fontId="27" fillId="68" borderId="356" xfId="0" applyFont="1" applyFill="1" applyBorder="1" applyAlignment="1">
      <alignment horizontal="center" vertical="center"/>
    </xf>
    <xf numFmtId="0" fontId="27" fillId="9" borderId="178" xfId="0" applyFont="1" applyFill="1" applyBorder="1" applyAlignment="1">
      <alignment horizontal="center" vertical="center"/>
    </xf>
    <xf numFmtId="0" fontId="27" fillId="9" borderId="179" xfId="0" applyFont="1" applyFill="1" applyBorder="1" applyAlignment="1">
      <alignment horizontal="center" vertical="center"/>
    </xf>
    <xf numFmtId="0" fontId="38" fillId="88" borderId="257" xfId="0" applyFont="1" applyFill="1" applyBorder="1" applyAlignment="1">
      <alignment horizontal="center" vertical="center"/>
    </xf>
    <xf numFmtId="0" fontId="38" fillId="88" borderId="376" xfId="0" applyFont="1" applyFill="1" applyBorder="1" applyAlignment="1">
      <alignment horizontal="center" vertical="center"/>
    </xf>
    <xf numFmtId="0" fontId="27" fillId="88" borderId="259" xfId="0" applyFont="1" applyFill="1" applyBorder="1" applyAlignment="1">
      <alignment horizontal="center" vertical="center"/>
    </xf>
    <xf numFmtId="0" fontId="27" fillId="88" borderId="256" xfId="0" applyFont="1" applyFill="1" applyBorder="1" applyAlignment="1">
      <alignment horizontal="center" vertical="center"/>
    </xf>
    <xf numFmtId="0" fontId="27" fillId="88" borderId="258" xfId="0" applyFont="1" applyFill="1" applyBorder="1" applyAlignment="1">
      <alignment horizontal="center" vertical="center"/>
    </xf>
    <xf numFmtId="0" fontId="38" fillId="88" borderId="179" xfId="0" applyFont="1" applyFill="1" applyBorder="1" applyAlignment="1">
      <alignment horizontal="center" vertical="center"/>
    </xf>
    <xf numFmtId="0" fontId="38" fillId="68" borderId="377" xfId="0" applyFont="1" applyFill="1" applyBorder="1" applyAlignment="1">
      <alignment vertical="center"/>
    </xf>
    <xf numFmtId="0" fontId="38" fillId="68" borderId="378" xfId="0" applyFont="1" applyFill="1" applyBorder="1" applyAlignment="1">
      <alignment vertical="center"/>
    </xf>
    <xf numFmtId="0" fontId="38" fillId="68" borderId="319" xfId="0" applyFont="1" applyFill="1" applyBorder="1" applyAlignment="1">
      <alignment horizontal="center" vertical="center"/>
    </xf>
    <xf numFmtId="0" fontId="27" fillId="68" borderId="320" xfId="0" applyFont="1" applyFill="1" applyBorder="1" applyAlignment="1">
      <alignment horizontal="center" vertical="center"/>
    </xf>
    <xf numFmtId="0" fontId="27" fillId="68" borderId="324" xfId="0" applyFont="1" applyFill="1" applyBorder="1" applyAlignment="1">
      <alignment horizontal="center" vertical="center"/>
    </xf>
    <xf numFmtId="0" fontId="27" fillId="9" borderId="386" xfId="0" applyFont="1" applyFill="1" applyBorder="1" applyAlignment="1">
      <alignment horizontal="center" vertical="center"/>
    </xf>
    <xf numFmtId="0" fontId="27" fillId="9" borderId="381" xfId="0" applyFont="1" applyFill="1" applyBorder="1" applyAlignment="1">
      <alignment horizontal="center" vertical="center"/>
    </xf>
    <xf numFmtId="0" fontId="38" fillId="88" borderId="360" xfId="0" applyFont="1" applyFill="1" applyBorder="1" applyAlignment="1">
      <alignment horizontal="center" vertical="center"/>
    </xf>
    <xf numFmtId="0" fontId="38" fillId="88" borderId="380" xfId="0" applyFont="1" applyFill="1" applyBorder="1" applyAlignment="1">
      <alignment horizontal="center" vertical="center"/>
    </xf>
    <xf numFmtId="0" fontId="27" fillId="88" borderId="378" xfId="0" applyFont="1" applyFill="1" applyBorder="1" applyAlignment="1">
      <alignment horizontal="center" vertical="center"/>
    </xf>
    <xf numFmtId="0" fontId="27" fillId="88" borderId="361" xfId="0" applyFont="1" applyFill="1" applyBorder="1" applyAlignment="1">
      <alignment horizontal="center" vertical="center"/>
    </xf>
    <xf numFmtId="0" fontId="27" fillId="88" borderId="379" xfId="0" applyFont="1" applyFill="1" applyBorder="1" applyAlignment="1">
      <alignment horizontal="center" vertical="center"/>
    </xf>
    <xf numFmtId="0" fontId="38" fillId="88" borderId="381" xfId="0" applyFont="1" applyFill="1" applyBorder="1" applyAlignment="1">
      <alignment horizontal="center" vertical="center"/>
    </xf>
    <xf numFmtId="0" fontId="38" fillId="68" borderId="338" xfId="0" applyFont="1" applyFill="1" applyBorder="1" applyAlignment="1">
      <alignment horizontal="center" vertical="center"/>
    </xf>
    <xf numFmtId="0" fontId="27" fillId="9" borderId="387" xfId="0" applyFont="1" applyFill="1" applyBorder="1" applyAlignment="1">
      <alignment horizontal="center" vertical="center"/>
    </xf>
    <xf numFmtId="0" fontId="27" fillId="9" borderId="382" xfId="0" applyFont="1" applyFill="1" applyBorder="1" applyAlignment="1">
      <alignment horizontal="center" vertical="center"/>
    </xf>
    <xf numFmtId="0" fontId="38" fillId="88" borderId="371" xfId="0" applyFont="1" applyFill="1" applyBorder="1" applyAlignment="1">
      <alignment horizontal="center" vertical="center"/>
    </xf>
    <xf numFmtId="0" fontId="38" fillId="88" borderId="375" xfId="0" applyFont="1" applyFill="1" applyBorder="1" applyAlignment="1">
      <alignment horizontal="center" vertical="center"/>
    </xf>
    <xf numFmtId="0" fontId="27" fillId="88" borderId="373" xfId="0" applyFont="1" applyFill="1" applyBorder="1" applyAlignment="1">
      <alignment horizontal="center" vertical="center"/>
    </xf>
    <xf numFmtId="0" fontId="27" fillId="88" borderId="374" xfId="0" applyFont="1" applyFill="1" applyBorder="1" applyAlignment="1">
      <alignment horizontal="center" vertical="center"/>
    </xf>
    <xf numFmtId="0" fontId="27" fillId="88" borderId="372" xfId="0" applyFont="1" applyFill="1" applyBorder="1" applyAlignment="1">
      <alignment horizontal="center" vertical="center"/>
    </xf>
    <xf numFmtId="0" fontId="38" fillId="88" borderId="382" xfId="0" applyFont="1" applyFill="1" applyBorder="1" applyAlignment="1">
      <alignment horizontal="center" vertical="center"/>
    </xf>
    <xf numFmtId="0" fontId="38" fillId="9" borderId="319" xfId="0" applyFont="1" applyFill="1" applyBorder="1" applyAlignment="1">
      <alignment horizontal="left" vertical="center"/>
    </xf>
    <xf numFmtId="0" fontId="38" fillId="88" borderId="325" xfId="0" applyFont="1" applyFill="1" applyBorder="1" applyAlignment="1">
      <alignment vertical="center"/>
    </xf>
    <xf numFmtId="0" fontId="38" fillId="88" borderId="320" xfId="0" applyFont="1" applyFill="1" applyBorder="1" applyAlignment="1">
      <alignment vertical="center"/>
    </xf>
    <xf numFmtId="0" fontId="38" fillId="88" borderId="331" xfId="0" applyFont="1" applyFill="1" applyBorder="1" applyAlignment="1">
      <alignment vertical="center"/>
    </xf>
    <xf numFmtId="0" fontId="38" fillId="68" borderId="383" xfId="0" applyFont="1" applyFill="1" applyBorder="1" applyAlignment="1">
      <alignment vertical="center"/>
    </xf>
    <xf numFmtId="0" fontId="38" fillId="68" borderId="384" xfId="0" applyFont="1" applyFill="1" applyBorder="1" applyAlignment="1">
      <alignment vertical="center"/>
    </xf>
    <xf numFmtId="0" fontId="38" fillId="68" borderId="231" xfId="0" applyFont="1" applyFill="1" applyBorder="1" applyAlignment="1">
      <alignment horizontal="center" vertical="center"/>
    </xf>
    <xf numFmtId="0" fontId="38" fillId="88" borderId="333" xfId="0" applyFont="1" applyFill="1" applyBorder="1" applyAlignment="1">
      <alignment vertical="center"/>
    </xf>
    <xf numFmtId="0" fontId="38" fillId="88" borderId="161" xfId="0" applyFont="1" applyFill="1" applyBorder="1" applyAlignment="1">
      <alignment vertical="center"/>
    </xf>
    <xf numFmtId="0" fontId="38" fillId="88" borderId="232" xfId="0" applyFont="1" applyFill="1" applyBorder="1" applyAlignment="1">
      <alignment vertical="center"/>
    </xf>
    <xf numFmtId="0" fontId="38" fillId="68" borderId="366" xfId="0" applyFont="1" applyFill="1" applyBorder="1" applyAlignment="1">
      <alignment horizontal="center" vertical="center"/>
    </xf>
    <xf numFmtId="0" fontId="38" fillId="68" borderId="57" xfId="0" applyFont="1" applyFill="1" applyBorder="1" applyAlignment="1">
      <alignment horizontal="center" vertical="center"/>
    </xf>
    <xf numFmtId="0" fontId="27" fillId="9" borderId="13" xfId="0" applyFont="1" applyFill="1" applyBorder="1" applyAlignment="1">
      <alignment horizontal="center" vertical="center"/>
    </xf>
    <xf numFmtId="0" fontId="27" fillId="9" borderId="14" xfId="0" applyFont="1" applyFill="1" applyBorder="1" applyAlignment="1">
      <alignment horizontal="center" vertical="center"/>
    </xf>
    <xf numFmtId="0" fontId="38" fillId="88" borderId="13" xfId="0" applyFont="1" applyFill="1" applyBorder="1" applyAlignment="1">
      <alignment vertical="center"/>
    </xf>
    <xf numFmtId="0" fontId="38" fillId="88" borderId="88" xfId="0" applyFont="1" applyFill="1" applyBorder="1" applyAlignment="1">
      <alignment vertical="center"/>
    </xf>
    <xf numFmtId="0" fontId="38" fillId="88" borderId="32" xfId="0" applyFont="1" applyFill="1" applyBorder="1" applyAlignment="1">
      <alignment vertical="center"/>
    </xf>
    <xf numFmtId="0" fontId="38" fillId="88" borderId="57" xfId="0" applyFont="1" applyFill="1" applyBorder="1" applyAlignment="1">
      <alignment vertical="center"/>
    </xf>
    <xf numFmtId="0" fontId="38" fillId="88" borderId="31" xfId="0" applyFont="1" applyFill="1" applyBorder="1" applyAlignment="1">
      <alignment vertical="center"/>
    </xf>
    <xf numFmtId="0" fontId="38" fillId="68" borderId="367" xfId="0" applyFont="1" applyFill="1" applyBorder="1" applyAlignment="1">
      <alignment horizontal="center" vertical="center"/>
    </xf>
    <xf numFmtId="0" fontId="27" fillId="9" borderId="200" xfId="0" applyFont="1" applyFill="1" applyBorder="1" applyAlignment="1">
      <alignment horizontal="center" vertical="center"/>
    </xf>
    <xf numFmtId="0" fontId="27" fillId="9" borderId="201" xfId="0" applyFont="1" applyFill="1" applyBorder="1" applyAlignment="1">
      <alignment horizontal="center" vertical="center"/>
    </xf>
    <xf numFmtId="0" fontId="38" fillId="88" borderId="200" xfId="0" applyFont="1" applyFill="1" applyBorder="1" applyAlignment="1">
      <alignment vertical="center"/>
    </xf>
    <xf numFmtId="0" fontId="38" fillId="88" borderId="176" xfId="0" applyFont="1" applyFill="1" applyBorder="1" applyAlignment="1">
      <alignment vertical="center"/>
    </xf>
    <xf numFmtId="0" fontId="38" fillId="88" borderId="172" xfId="0" applyFont="1" applyFill="1" applyBorder="1" applyAlignment="1">
      <alignment vertical="center"/>
    </xf>
    <xf numFmtId="0" fontId="38" fillId="88" borderId="175" xfId="0" applyFont="1" applyFill="1" applyBorder="1" applyAlignment="1">
      <alignment vertical="center"/>
    </xf>
    <xf numFmtId="0" fontId="38" fillId="88" borderId="174" xfId="0" applyFont="1" applyFill="1" applyBorder="1" applyAlignment="1">
      <alignment vertical="center"/>
    </xf>
    <xf numFmtId="1" fontId="38" fillId="88" borderId="200" xfId="0" applyNumberFormat="1" applyFont="1" applyFill="1" applyBorder="1" applyAlignment="1">
      <alignment horizontal="center" vertical="center"/>
    </xf>
    <xf numFmtId="1" fontId="38" fillId="88" borderId="176" xfId="0" applyNumberFormat="1" applyFont="1" applyFill="1" applyBorder="1" applyAlignment="1">
      <alignment horizontal="center" vertical="center"/>
    </xf>
    <xf numFmtId="1" fontId="27" fillId="88" borderId="172" xfId="0" applyNumberFormat="1" applyFont="1" applyFill="1" applyBorder="1" applyAlignment="1">
      <alignment horizontal="center" vertical="center"/>
    </xf>
    <xf numFmtId="1" fontId="27" fillId="88" borderId="175" xfId="0" applyNumberFormat="1" applyFont="1" applyFill="1" applyBorder="1" applyAlignment="1">
      <alignment horizontal="center" vertical="center"/>
    </xf>
    <xf numFmtId="0" fontId="38" fillId="88" borderId="200" xfId="0" applyFont="1" applyFill="1" applyBorder="1" applyAlignment="1">
      <alignment horizontal="center" vertical="center"/>
    </xf>
    <xf numFmtId="0" fontId="38" fillId="88" borderId="201" xfId="0" applyFont="1" applyFill="1" applyBorder="1" applyAlignment="1">
      <alignment horizontal="center" vertical="center"/>
    </xf>
    <xf numFmtId="0" fontId="38" fillId="68" borderId="213" xfId="0" applyFont="1" applyFill="1" applyBorder="1" applyAlignment="1">
      <alignment vertical="center"/>
    </xf>
    <xf numFmtId="0" fontId="38" fillId="68" borderId="339" xfId="0" applyFont="1" applyFill="1" applyBorder="1" applyAlignment="1">
      <alignment vertical="center"/>
    </xf>
    <xf numFmtId="0" fontId="38" fillId="68" borderId="370" xfId="0" applyFont="1" applyFill="1" applyBorder="1" applyAlignment="1">
      <alignment horizontal="center" vertical="center"/>
    </xf>
    <xf numFmtId="0" fontId="27" fillId="68" borderId="208" xfId="0" applyFont="1" applyFill="1" applyBorder="1" applyAlignment="1">
      <alignment horizontal="center" vertical="center"/>
    </xf>
    <xf numFmtId="0" fontId="38" fillId="68" borderId="208" xfId="0" applyFont="1" applyFill="1" applyBorder="1" applyAlignment="1">
      <alignment horizontal="center" vertical="center"/>
    </xf>
    <xf numFmtId="0" fontId="27" fillId="9" borderId="207" xfId="0" applyFont="1" applyFill="1" applyBorder="1" applyAlignment="1">
      <alignment horizontal="center" vertical="center"/>
    </xf>
    <xf numFmtId="0" fontId="27" fillId="9" borderId="211" xfId="0" applyFont="1" applyFill="1" applyBorder="1" applyAlignment="1">
      <alignment horizontal="center" vertical="center"/>
    </xf>
    <xf numFmtId="1" fontId="38" fillId="88" borderId="207" xfId="0" applyNumberFormat="1" applyFont="1" applyFill="1" applyBorder="1" applyAlignment="1">
      <alignment horizontal="center" vertical="center"/>
    </xf>
    <xf numFmtId="1" fontId="38" fillId="88" borderId="212" xfId="0" applyNumberFormat="1" applyFont="1" applyFill="1" applyBorder="1" applyAlignment="1">
      <alignment horizontal="center" vertical="center"/>
    </xf>
    <xf numFmtId="1" fontId="27" fillId="88" borderId="199" xfId="0" applyNumberFormat="1" applyFont="1" applyFill="1" applyBorder="1" applyAlignment="1">
      <alignment horizontal="center" vertical="center"/>
    </xf>
    <xf numFmtId="1" fontId="27" fillId="88" borderId="208" xfId="0" applyNumberFormat="1" applyFont="1" applyFill="1" applyBorder="1" applyAlignment="1">
      <alignment horizontal="center" vertical="center"/>
    </xf>
    <xf numFmtId="0" fontId="38" fillId="88" borderId="207" xfId="0" applyFont="1" applyFill="1" applyBorder="1" applyAlignment="1">
      <alignment horizontal="center" vertical="center"/>
    </xf>
    <xf numFmtId="0" fontId="38" fillId="88" borderId="211" xfId="0" applyFont="1" applyFill="1" applyBorder="1" applyAlignment="1">
      <alignment horizontal="center" vertical="center"/>
    </xf>
    <xf numFmtId="0" fontId="38" fillId="68" borderId="368" xfId="0" applyFont="1" applyFill="1" applyBorder="1" applyAlignment="1">
      <alignment horizontal="center" vertical="center"/>
    </xf>
    <xf numFmtId="0" fontId="27" fillId="68" borderId="318" xfId="0" applyFont="1" applyFill="1" applyBorder="1" applyAlignment="1">
      <alignment horizontal="center" vertical="center"/>
    </xf>
    <xf numFmtId="0" fontId="38" fillId="68" borderId="318" xfId="0" applyFont="1" applyFill="1" applyBorder="1" applyAlignment="1">
      <alignment horizontal="center" vertical="center"/>
    </xf>
    <xf numFmtId="0" fontId="27" fillId="9" borderId="389" xfId="0" applyFont="1" applyFill="1" applyBorder="1" applyAlignment="1">
      <alignment horizontal="center" vertical="center"/>
    </xf>
    <xf numFmtId="0" fontId="27" fillId="9" borderId="390" xfId="0" applyFont="1" applyFill="1" applyBorder="1" applyAlignment="1">
      <alignment horizontal="center" vertical="center"/>
    </xf>
    <xf numFmtId="0" fontId="38" fillId="88" borderId="389" xfId="0" applyFont="1" applyFill="1" applyBorder="1" applyAlignment="1">
      <alignment horizontal="center" vertical="center"/>
    </xf>
    <xf numFmtId="0" fontId="38" fillId="88" borderId="342" xfId="0" applyFont="1" applyFill="1" applyBorder="1" applyAlignment="1">
      <alignment horizontal="center" vertical="center"/>
    </xf>
    <xf numFmtId="0" fontId="27" fillId="88" borderId="251" xfId="0" applyFont="1" applyFill="1" applyBorder="1" applyAlignment="1">
      <alignment horizontal="center" vertical="center"/>
    </xf>
    <xf numFmtId="0" fontId="27" fillId="88" borderId="318" xfId="0" applyFont="1" applyFill="1" applyBorder="1" applyAlignment="1">
      <alignment horizontal="center" vertical="center"/>
    </xf>
    <xf numFmtId="0" fontId="27" fillId="88" borderId="390" xfId="0" applyFont="1" applyFill="1" applyBorder="1" applyAlignment="1">
      <alignment horizontal="center" vertical="center"/>
    </xf>
    <xf numFmtId="49" fontId="38" fillId="68" borderId="367" xfId="0" applyNumberFormat="1" applyFont="1" applyFill="1" applyBorder="1" applyAlignment="1">
      <alignment horizontal="center" vertical="center"/>
    </xf>
    <xf numFmtId="49" fontId="38" fillId="68" borderId="175" xfId="0" applyNumberFormat="1" applyFont="1" applyFill="1" applyBorder="1" applyAlignment="1">
      <alignment horizontal="center" vertical="center"/>
    </xf>
    <xf numFmtId="0" fontId="38" fillId="88" borderId="176" xfId="0" applyFont="1" applyFill="1" applyBorder="1" applyAlignment="1">
      <alignment horizontal="center" vertical="center"/>
    </xf>
    <xf numFmtId="0" fontId="27" fillId="88" borderId="172" xfId="0" applyFont="1" applyFill="1" applyBorder="1" applyAlignment="1">
      <alignment horizontal="center" vertical="center"/>
    </xf>
    <xf numFmtId="0" fontId="27" fillId="88" borderId="175" xfId="0" applyFont="1" applyFill="1" applyBorder="1" applyAlignment="1">
      <alignment horizontal="center" vertical="center"/>
    </xf>
    <xf numFmtId="0" fontId="27" fillId="88" borderId="200" xfId="0" applyFont="1" applyFill="1" applyBorder="1" applyAlignment="1">
      <alignment horizontal="center" vertical="center"/>
    </xf>
    <xf numFmtId="0" fontId="27" fillId="88" borderId="201" xfId="0" applyFont="1" applyFill="1" applyBorder="1" applyAlignment="1">
      <alignment horizontal="center" vertical="center"/>
    </xf>
    <xf numFmtId="0" fontId="38" fillId="68" borderId="369" xfId="0" applyFont="1" applyFill="1" applyBorder="1" applyAlignment="1">
      <alignment horizontal="center" vertical="center"/>
    </xf>
    <xf numFmtId="0" fontId="27" fillId="68" borderId="66" xfId="0" applyFont="1" applyFill="1" applyBorder="1" applyAlignment="1">
      <alignment horizontal="center" vertical="center"/>
    </xf>
    <xf numFmtId="0" fontId="38" fillId="68" borderId="66" xfId="0" applyFont="1" applyFill="1" applyBorder="1" applyAlignment="1">
      <alignment horizontal="center" vertical="center"/>
    </xf>
    <xf numFmtId="0" fontId="27" fillId="9" borderId="54" xfId="0" applyFont="1" applyFill="1" applyBorder="1" applyAlignment="1">
      <alignment horizontal="center" vertical="center"/>
    </xf>
    <xf numFmtId="0" fontId="27" fillId="9" borderId="55" xfId="0" applyFont="1" applyFill="1" applyBorder="1" applyAlignment="1">
      <alignment horizontal="center" vertical="center"/>
    </xf>
    <xf numFmtId="0" fontId="38" fillId="88" borderId="212" xfId="0" applyFont="1" applyFill="1" applyBorder="1" applyAlignment="1">
      <alignment horizontal="center" vertical="center"/>
    </xf>
    <xf numFmtId="0" fontId="27" fillId="88" borderId="199" xfId="0" applyFont="1" applyFill="1" applyBorder="1" applyAlignment="1">
      <alignment horizontal="center" vertical="center"/>
    </xf>
    <xf numFmtId="0" fontId="27" fillId="88" borderId="208" xfId="0" applyFont="1" applyFill="1" applyBorder="1" applyAlignment="1">
      <alignment horizontal="center" vertical="center"/>
    </xf>
    <xf numFmtId="0" fontId="38" fillId="68" borderId="215" xfId="0" applyFont="1" applyFill="1" applyBorder="1" applyAlignment="1">
      <alignment horizontal="center" vertical="center"/>
    </xf>
    <xf numFmtId="0" fontId="27" fillId="9" borderId="202" xfId="0" applyFont="1" applyFill="1" applyBorder="1" applyAlignment="1">
      <alignment horizontal="center" vertical="center"/>
    </xf>
    <xf numFmtId="0" fontId="27" fillId="9" borderId="206" xfId="0" applyFont="1" applyFill="1" applyBorder="1" applyAlignment="1">
      <alignment horizontal="center" vertical="center"/>
    </xf>
    <xf numFmtId="1" fontId="38" fillId="88" borderId="202" xfId="0" applyNumberFormat="1" applyFont="1" applyFill="1" applyBorder="1" applyAlignment="1">
      <alignment horizontal="center" vertical="center"/>
    </xf>
    <xf numFmtId="1" fontId="38" fillId="88" borderId="210" xfId="0" applyNumberFormat="1" applyFont="1" applyFill="1" applyBorder="1" applyAlignment="1">
      <alignment horizontal="center" vertical="center"/>
    </xf>
    <xf numFmtId="1" fontId="27" fillId="88" borderId="251" xfId="0" applyNumberFormat="1" applyFont="1" applyFill="1" applyBorder="1" applyAlignment="1">
      <alignment horizontal="center" vertical="center"/>
    </xf>
    <xf numFmtId="1" fontId="27" fillId="88" borderId="215" xfId="0" applyNumberFormat="1" applyFont="1" applyFill="1" applyBorder="1" applyAlignment="1">
      <alignment horizontal="center" vertical="center"/>
    </xf>
    <xf numFmtId="0" fontId="27" fillId="88" borderId="202" xfId="0" applyFont="1" applyFill="1" applyBorder="1" applyAlignment="1">
      <alignment horizontal="center" vertical="center"/>
    </xf>
    <xf numFmtId="0" fontId="27" fillId="88" borderId="225" xfId="0" applyFont="1" applyFill="1" applyBorder="1" applyAlignment="1">
      <alignment horizontal="center" vertical="center"/>
    </xf>
    <xf numFmtId="16" fontId="38" fillId="68" borderId="302" xfId="0" quotePrefix="1" applyNumberFormat="1" applyFont="1" applyFill="1" applyBorder="1" applyAlignment="1">
      <alignment horizontal="center" vertical="center"/>
    </xf>
    <xf numFmtId="0" fontId="27" fillId="9" borderId="303" xfId="0" applyFont="1" applyFill="1" applyBorder="1" applyAlignment="1">
      <alignment horizontal="center" vertical="center"/>
    </xf>
    <xf numFmtId="0" fontId="27" fillId="9" borderId="304" xfId="0" applyFont="1" applyFill="1" applyBorder="1" applyAlignment="1">
      <alignment horizontal="center" vertical="center"/>
    </xf>
    <xf numFmtId="0" fontId="38" fillId="88" borderId="303" xfId="0" applyFont="1" applyFill="1" applyBorder="1" applyAlignment="1">
      <alignment horizontal="center" vertical="center"/>
    </xf>
    <xf numFmtId="0" fontId="38" fillId="88" borderId="300" xfId="0" applyFont="1" applyFill="1" applyBorder="1" applyAlignment="1">
      <alignment horizontal="center" vertical="center"/>
    </xf>
    <xf numFmtId="0" fontId="38" fillId="88" borderId="305" xfId="0" applyFont="1" applyFill="1" applyBorder="1" applyAlignment="1">
      <alignment vertical="center"/>
    </xf>
    <xf numFmtId="0" fontId="38" fillId="88" borderId="302" xfId="0" applyFont="1" applyFill="1" applyBorder="1" applyAlignment="1">
      <alignment vertical="center"/>
    </xf>
    <xf numFmtId="0" fontId="38" fillId="88" borderId="307" xfId="0" applyFont="1" applyFill="1" applyBorder="1" applyAlignment="1">
      <alignment vertical="center"/>
    </xf>
    <xf numFmtId="0" fontId="38" fillId="88" borderId="308" xfId="0" applyFont="1" applyFill="1" applyBorder="1" applyAlignment="1">
      <alignment vertical="center"/>
    </xf>
    <xf numFmtId="0" fontId="38" fillId="68" borderId="367" xfId="0" applyFont="1" applyFill="1" applyBorder="1" applyAlignment="1">
      <alignment horizontal="left" vertical="center"/>
    </xf>
    <xf numFmtId="1" fontId="38" fillId="88" borderId="303" xfId="0" applyNumberFormat="1" applyFont="1" applyFill="1" applyBorder="1" applyAlignment="1">
      <alignment horizontal="center" vertical="center"/>
    </xf>
    <xf numFmtId="1" fontId="38" fillId="88" borderId="300" xfId="0" applyNumberFormat="1" applyFont="1" applyFill="1" applyBorder="1" applyAlignment="1">
      <alignment horizontal="center" vertical="center"/>
    </xf>
    <xf numFmtId="1" fontId="27" fillId="88" borderId="305" xfId="0" applyNumberFormat="1" applyFont="1" applyFill="1" applyBorder="1" applyAlignment="1">
      <alignment horizontal="center" vertical="center"/>
    </xf>
    <xf numFmtId="1" fontId="27" fillId="88" borderId="302" xfId="0" applyNumberFormat="1" applyFont="1" applyFill="1" applyBorder="1" applyAlignment="1">
      <alignment horizontal="center" vertical="center"/>
    </xf>
    <xf numFmtId="0" fontId="27" fillId="88" borderId="303" xfId="0" applyFont="1" applyFill="1" applyBorder="1" applyAlignment="1">
      <alignment horizontal="center" vertical="center"/>
    </xf>
    <xf numFmtId="0" fontId="27" fillId="88" borderId="309" xfId="0" applyFont="1" applyFill="1" applyBorder="1" applyAlignment="1">
      <alignment horizontal="center" vertical="center"/>
    </xf>
    <xf numFmtId="0" fontId="38" fillId="68" borderId="368" xfId="0" applyFont="1" applyFill="1" applyBorder="1" applyAlignment="1">
      <alignment horizontal="left" vertical="center"/>
    </xf>
    <xf numFmtId="0" fontId="38" fillId="68" borderId="312" xfId="0" applyFont="1" applyFill="1" applyBorder="1" applyAlignment="1">
      <alignment horizontal="center" vertical="center"/>
    </xf>
    <xf numFmtId="0" fontId="27" fillId="9" borderId="313" xfId="0" applyFont="1" applyFill="1" applyBorder="1" applyAlignment="1">
      <alignment horizontal="center" vertical="center"/>
    </xf>
    <xf numFmtId="0" fontId="27" fillId="9" borderId="314" xfId="0" applyFont="1" applyFill="1" applyBorder="1" applyAlignment="1">
      <alignment horizontal="center" vertical="center"/>
    </xf>
    <xf numFmtId="0" fontId="38" fillId="88" borderId="313" xfId="0" applyFont="1" applyFill="1" applyBorder="1" applyAlignment="1">
      <alignment horizontal="center" vertical="center"/>
    </xf>
    <xf numFmtId="0" fontId="38" fillId="88" borderId="311" xfId="0" applyFont="1" applyFill="1" applyBorder="1" applyAlignment="1">
      <alignment horizontal="center" vertical="center"/>
    </xf>
    <xf numFmtId="1" fontId="27" fillId="88" borderId="315" xfId="0" applyNumberFormat="1" applyFont="1" applyFill="1" applyBorder="1" applyAlignment="1">
      <alignment horizontal="center" vertical="center"/>
    </xf>
    <xf numFmtId="1" fontId="27" fillId="88" borderId="312" xfId="0" applyNumberFormat="1" applyFont="1" applyFill="1" applyBorder="1" applyAlignment="1">
      <alignment horizontal="center" vertical="center"/>
    </xf>
    <xf numFmtId="0" fontId="27" fillId="88" borderId="313" xfId="0" applyFont="1" applyFill="1" applyBorder="1" applyAlignment="1">
      <alignment horizontal="center" vertical="center"/>
    </xf>
    <xf numFmtId="0" fontId="27" fillId="88" borderId="317" xfId="0" applyFont="1" applyFill="1" applyBorder="1" applyAlignment="1">
      <alignment horizontal="center" vertical="center"/>
    </xf>
    <xf numFmtId="1" fontId="38" fillId="88" borderId="13" xfId="0" applyNumberFormat="1" applyFont="1" applyFill="1" applyBorder="1" applyAlignment="1">
      <alignment horizontal="center" vertical="center"/>
    </xf>
    <xf numFmtId="1" fontId="38" fillId="88" borderId="88" xfId="0" applyNumberFormat="1" applyFont="1" applyFill="1" applyBorder="1" applyAlignment="1">
      <alignment horizontal="center" vertical="center"/>
    </xf>
    <xf numFmtId="1" fontId="27" fillId="88" borderId="378" xfId="0" applyNumberFormat="1" applyFont="1" applyFill="1" applyBorder="1" applyAlignment="1">
      <alignment horizontal="center" vertical="center"/>
    </xf>
    <xf numFmtId="1" fontId="27" fillId="88" borderId="361" xfId="0" applyNumberFormat="1" applyFont="1" applyFill="1" applyBorder="1" applyAlignment="1">
      <alignment horizontal="center" vertical="center"/>
    </xf>
    <xf numFmtId="0" fontId="27" fillId="88" borderId="13" xfId="0" applyFont="1" applyFill="1" applyBorder="1" applyAlignment="1">
      <alignment horizontal="center" vertical="center"/>
    </xf>
    <xf numFmtId="0" fontId="27" fillId="88" borderId="14" xfId="0" applyFont="1" applyFill="1" applyBorder="1" applyAlignment="1">
      <alignment horizontal="center" vertical="center"/>
    </xf>
    <xf numFmtId="1" fontId="38" fillId="88" borderId="379" xfId="0" applyNumberFormat="1" applyFont="1" applyFill="1" applyBorder="1" applyAlignment="1">
      <alignment horizontal="center" vertical="center"/>
    </xf>
    <xf numFmtId="1" fontId="38" fillId="88" borderId="380" xfId="0" applyNumberFormat="1" applyFont="1" applyFill="1" applyBorder="1" applyAlignment="1">
      <alignment horizontal="center" vertical="center"/>
    </xf>
    <xf numFmtId="0" fontId="27" fillId="88" borderId="304" xfId="0" applyFont="1" applyFill="1" applyBorder="1" applyAlignment="1">
      <alignment horizontal="center" vertical="center"/>
    </xf>
    <xf numFmtId="0" fontId="38" fillId="9" borderId="200" xfId="0" applyFont="1" applyFill="1" applyBorder="1" applyAlignment="1">
      <alignment horizontal="left" vertical="center"/>
    </xf>
    <xf numFmtId="0" fontId="27" fillId="9" borderId="200" xfId="0" quotePrefix="1" applyFont="1" applyFill="1" applyBorder="1" applyAlignment="1">
      <alignment horizontal="center" vertical="center"/>
    </xf>
    <xf numFmtId="0" fontId="27" fillId="9" borderId="201" xfId="0" quotePrefix="1" applyFont="1" applyFill="1" applyBorder="1" applyAlignment="1">
      <alignment horizontal="center" vertical="center"/>
    </xf>
    <xf numFmtId="1" fontId="38" fillId="88" borderId="313" xfId="0" applyNumberFormat="1" applyFont="1" applyFill="1" applyBorder="1" applyAlignment="1">
      <alignment horizontal="center" vertical="center"/>
    </xf>
    <xf numFmtId="1" fontId="38" fillId="88" borderId="311" xfId="0" applyNumberFormat="1" applyFont="1" applyFill="1" applyBorder="1" applyAlignment="1">
      <alignment horizontal="center" vertical="center"/>
    </xf>
    <xf numFmtId="1" fontId="27" fillId="88" borderId="384" xfId="0" applyNumberFormat="1" applyFont="1" applyFill="1" applyBorder="1" applyAlignment="1">
      <alignment horizontal="center" vertical="center"/>
    </xf>
    <xf numFmtId="0" fontId="27" fillId="88" borderId="314" xfId="0" applyFont="1" applyFill="1" applyBorder="1" applyAlignment="1">
      <alignment horizontal="center" vertical="center"/>
    </xf>
    <xf numFmtId="0" fontId="15" fillId="14" borderId="0" xfId="0" applyFont="1" applyFill="1"/>
    <xf numFmtId="0" fontId="15" fillId="0" borderId="0" xfId="0" applyFont="1"/>
    <xf numFmtId="0" fontId="15" fillId="14" borderId="0" xfId="0" applyFont="1" applyFill="1" applyBorder="1" applyAlignment="1">
      <alignment horizontal="center" vertical="center"/>
    </xf>
    <xf numFmtId="0" fontId="38" fillId="0" borderId="0" xfId="0" applyFont="1"/>
    <xf numFmtId="0" fontId="3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38" fillId="0" borderId="0" xfId="0" applyFont="1" applyFill="1" applyBorder="1"/>
    <xf numFmtId="0" fontId="38" fillId="68" borderId="87" xfId="0" applyFont="1" applyFill="1" applyBorder="1" applyAlignment="1">
      <alignment horizontal="center" vertical="center"/>
    </xf>
    <xf numFmtId="0" fontId="38" fillId="68" borderId="360" xfId="0" applyFont="1" applyFill="1" applyBorder="1" applyAlignment="1">
      <alignment horizontal="center" vertical="center"/>
    </xf>
    <xf numFmtId="0" fontId="38" fillId="68" borderId="391" xfId="0" applyFont="1" applyFill="1" applyBorder="1" applyAlignment="1">
      <alignment horizontal="center" vertical="center"/>
    </xf>
    <xf numFmtId="0" fontId="38" fillId="68" borderId="392" xfId="0" applyFont="1" applyFill="1" applyBorder="1" applyAlignment="1">
      <alignment vertical="center"/>
    </xf>
    <xf numFmtId="0" fontId="38" fillId="68" borderId="308" xfId="0" applyFont="1" applyFill="1" applyBorder="1" applyAlignment="1">
      <alignment vertical="center"/>
    </xf>
    <xf numFmtId="0" fontId="38" fillId="68" borderId="393" xfId="0" applyFont="1" applyFill="1" applyBorder="1" applyAlignment="1">
      <alignment vertical="center"/>
    </xf>
    <xf numFmtId="0" fontId="38" fillId="30" borderId="292" xfId="0" applyFont="1" applyFill="1" applyBorder="1" applyAlignment="1">
      <alignment vertical="center"/>
    </xf>
    <xf numFmtId="0" fontId="38" fillId="30" borderId="263" xfId="0" applyFont="1" applyFill="1" applyBorder="1" applyAlignment="1">
      <alignment vertical="center"/>
    </xf>
    <xf numFmtId="0" fontId="38" fillId="30" borderId="273" xfId="0" applyFont="1" applyFill="1" applyBorder="1" applyAlignment="1">
      <alignment horizontal="left" vertical="center"/>
    </xf>
    <xf numFmtId="0" fontId="27" fillId="30" borderId="260" xfId="0" applyFont="1" applyFill="1" applyBorder="1" applyAlignment="1">
      <alignment horizontal="center" vertical="center"/>
    </xf>
    <xf numFmtId="0" fontId="27" fillId="30" borderId="269" xfId="0" applyFont="1" applyFill="1" applyBorder="1" applyAlignment="1">
      <alignment horizontal="center" vertical="center"/>
    </xf>
    <xf numFmtId="0" fontId="27" fillId="9" borderId="272" xfId="0" applyFont="1" applyFill="1" applyBorder="1" applyAlignment="1">
      <alignment horizontal="left" vertical="center"/>
    </xf>
    <xf numFmtId="0" fontId="27" fillId="9" borderId="276" xfId="0" applyFont="1" applyFill="1" applyBorder="1" applyAlignment="1">
      <alignment horizontal="center" vertical="center"/>
    </xf>
    <xf numFmtId="1" fontId="38" fillId="31" borderId="13" xfId="0" applyNumberFormat="1" applyFont="1" applyFill="1" applyBorder="1" applyAlignment="1">
      <alignment horizontal="center" vertical="center"/>
    </xf>
    <xf numFmtId="1" fontId="38" fillId="31" borderId="32" xfId="0" applyNumberFormat="1" applyFont="1" applyFill="1" applyBorder="1" applyAlignment="1">
      <alignment horizontal="center" vertical="center"/>
    </xf>
    <xf numFmtId="0" fontId="27" fillId="31" borderId="13" xfId="0" applyFont="1" applyFill="1" applyBorder="1" applyAlignment="1">
      <alignment horizontal="center" vertical="center"/>
    </xf>
    <xf numFmtId="0" fontId="27" fillId="31" borderId="57" xfId="0" applyFont="1" applyFill="1" applyBorder="1" applyAlignment="1">
      <alignment horizontal="center" vertical="center"/>
    </xf>
    <xf numFmtId="0" fontId="27" fillId="31" borderId="14" xfId="0" applyFont="1" applyFill="1" applyBorder="1" applyAlignment="1">
      <alignment horizontal="center" vertical="center"/>
    </xf>
    <xf numFmtId="0" fontId="38" fillId="31" borderId="87" xfId="0" applyFont="1" applyFill="1" applyBorder="1" applyAlignment="1">
      <alignment horizontal="center" vertical="center"/>
    </xf>
    <xf numFmtId="0" fontId="38" fillId="31" borderId="76" xfId="0" applyFont="1" applyFill="1" applyBorder="1" applyAlignment="1">
      <alignment horizontal="center" vertical="center"/>
    </xf>
    <xf numFmtId="1" fontId="38" fillId="29" borderId="32" xfId="0" applyNumberFormat="1" applyFont="1" applyFill="1" applyBorder="1" applyAlignment="1">
      <alignment vertical="center"/>
    </xf>
    <xf numFmtId="1" fontId="38" fillId="29" borderId="31" xfId="0" applyNumberFormat="1" applyFont="1" applyFill="1" applyBorder="1" applyAlignment="1">
      <alignment vertical="center"/>
    </xf>
    <xf numFmtId="1" fontId="38" fillId="29" borderId="88" xfId="0" applyNumberFormat="1" applyFont="1" applyFill="1" applyBorder="1" applyAlignment="1">
      <alignment vertical="center"/>
    </xf>
    <xf numFmtId="0" fontId="38" fillId="78" borderId="87" xfId="0" applyFont="1" applyFill="1" applyBorder="1" applyAlignment="1">
      <alignment horizontal="center" vertical="center"/>
    </xf>
    <xf numFmtId="0" fontId="38" fillId="78" borderId="271" xfId="0" applyFont="1" applyFill="1" applyBorder="1" applyAlignment="1">
      <alignment horizontal="center" vertical="center"/>
    </xf>
    <xf numFmtId="0" fontId="38" fillId="30" borderId="273" xfId="0" applyFont="1" applyFill="1" applyBorder="1" applyAlignment="1">
      <alignment horizontal="center" vertical="center"/>
    </xf>
    <xf numFmtId="0" fontId="27" fillId="9" borderId="272" xfId="0" applyFont="1" applyFill="1" applyBorder="1" applyAlignment="1">
      <alignment horizontal="center" vertical="center"/>
    </xf>
    <xf numFmtId="1" fontId="38" fillId="31" borderId="273" xfId="0" applyNumberFormat="1" applyFont="1" applyFill="1" applyBorder="1" applyAlignment="1">
      <alignment horizontal="center" vertical="center"/>
    </xf>
    <xf numFmtId="1" fontId="38" fillId="31" borderId="270" xfId="0" applyNumberFormat="1" applyFont="1" applyFill="1" applyBorder="1" applyAlignment="1">
      <alignment horizontal="center" vertical="center"/>
    </xf>
    <xf numFmtId="0" fontId="27" fillId="31" borderId="273" xfId="0" applyFont="1" applyFill="1" applyBorder="1" applyAlignment="1">
      <alignment horizontal="center" vertical="center"/>
    </xf>
    <xf numFmtId="0" fontId="27" fillId="31" borderId="260" xfId="0" applyFont="1" applyFill="1" applyBorder="1" applyAlignment="1">
      <alignment horizontal="center" vertical="center"/>
    </xf>
    <xf numFmtId="0" fontId="27" fillId="31" borderId="274" xfId="0" applyFont="1" applyFill="1" applyBorder="1" applyAlignment="1">
      <alignment horizontal="center" vertical="center"/>
    </xf>
    <xf numFmtId="0" fontId="38" fillId="31" borderId="275" xfId="0" applyFont="1" applyFill="1" applyBorder="1" applyAlignment="1">
      <alignment horizontal="center" vertical="center"/>
    </xf>
    <xf numFmtId="0" fontId="38" fillId="31" borderId="269" xfId="0" applyFont="1" applyFill="1" applyBorder="1" applyAlignment="1">
      <alignment horizontal="center" vertical="center"/>
    </xf>
    <xf numFmtId="1" fontId="38" fillId="29" borderId="272" xfId="0" applyNumberFormat="1" applyFont="1" applyFill="1" applyBorder="1" applyAlignment="1">
      <alignment horizontal="center" vertical="center"/>
    </xf>
    <xf numFmtId="1" fontId="38" fillId="29" borderId="270" xfId="0" applyNumberFormat="1" applyFont="1" applyFill="1" applyBorder="1" applyAlignment="1">
      <alignment horizontal="center" vertical="center"/>
    </xf>
    <xf numFmtId="0" fontId="27" fillId="29" borderId="273" xfId="0" applyFont="1" applyFill="1" applyBorder="1" applyAlignment="1">
      <alignment horizontal="center" vertical="center"/>
    </xf>
    <xf numFmtId="0" fontId="27" fillId="29" borderId="260" xfId="0" applyFont="1" applyFill="1" applyBorder="1" applyAlignment="1">
      <alignment horizontal="center" vertical="center"/>
    </xf>
    <xf numFmtId="0" fontId="27" fillId="29" borderId="274" xfId="0" applyFont="1" applyFill="1" applyBorder="1" applyAlignment="1">
      <alignment horizontal="center" vertical="center"/>
    </xf>
    <xf numFmtId="0" fontId="38" fillId="78" borderId="275" xfId="0" applyFont="1" applyFill="1" applyBorder="1" applyAlignment="1">
      <alignment horizontal="center" vertical="center"/>
    </xf>
    <xf numFmtId="0" fontId="38" fillId="78" borderId="276" xfId="0" applyFont="1" applyFill="1" applyBorder="1" applyAlignment="1">
      <alignment horizontal="center" vertical="center"/>
    </xf>
    <xf numFmtId="0" fontId="27" fillId="9" borderId="293" xfId="0" quotePrefix="1" applyFont="1" applyFill="1" applyBorder="1" applyAlignment="1">
      <alignment horizontal="center" vertical="center"/>
    </xf>
    <xf numFmtId="0" fontId="27" fillId="9" borderId="294" xfId="0" quotePrefix="1" applyFont="1" applyFill="1" applyBorder="1" applyAlignment="1">
      <alignment horizontal="center" vertical="center"/>
    </xf>
    <xf numFmtId="2" fontId="38" fillId="30" borderId="260" xfId="0" applyNumberFormat="1" applyFont="1" applyFill="1" applyBorder="1" applyAlignment="1">
      <alignment horizontal="center" vertical="center"/>
    </xf>
    <xf numFmtId="1" fontId="27" fillId="29" borderId="273" xfId="0" applyNumberFormat="1" applyFont="1" applyFill="1" applyBorder="1" applyAlignment="1">
      <alignment horizontal="center" vertical="center"/>
    </xf>
    <xf numFmtId="1" fontId="27" fillId="29" borderId="260" xfId="0" applyNumberFormat="1" applyFont="1" applyFill="1" applyBorder="1" applyAlignment="1">
      <alignment horizontal="center" vertical="center"/>
    </xf>
    <xf numFmtId="1" fontId="27" fillId="29" borderId="274" xfId="0" applyNumberFormat="1" applyFont="1" applyFill="1" applyBorder="1" applyAlignment="1">
      <alignment horizontal="center" vertical="center"/>
    </xf>
    <xf numFmtId="16" fontId="38" fillId="30" borderId="260" xfId="0" applyNumberFormat="1" applyFont="1" applyFill="1" applyBorder="1" applyAlignment="1">
      <alignment horizontal="center" vertical="center"/>
    </xf>
    <xf numFmtId="0" fontId="38" fillId="31" borderId="273" xfId="0" applyFont="1" applyFill="1" applyBorder="1" applyAlignment="1">
      <alignment horizontal="center" vertical="center"/>
    </xf>
    <xf numFmtId="0" fontId="38" fillId="31" borderId="270" xfId="0" applyFont="1" applyFill="1" applyBorder="1" applyAlignment="1">
      <alignment horizontal="center" vertical="center"/>
    </xf>
    <xf numFmtId="0" fontId="38" fillId="30" borderId="277" xfId="0" applyFont="1" applyFill="1" applyBorder="1" applyAlignment="1">
      <alignment horizontal="left" vertical="center"/>
    </xf>
    <xf numFmtId="0" fontId="38" fillId="30" borderId="270" xfId="0" applyFont="1" applyFill="1" applyBorder="1" applyAlignment="1">
      <alignment horizontal="center" vertical="center"/>
    </xf>
    <xf numFmtId="0" fontId="27" fillId="9" borderId="264" xfId="0" applyFont="1" applyFill="1" applyBorder="1" applyAlignment="1">
      <alignment horizontal="center" vertical="center"/>
    </xf>
    <xf numFmtId="0" fontId="27" fillId="9" borderId="265" xfId="0" applyFont="1" applyFill="1" applyBorder="1" applyAlignment="1">
      <alignment horizontal="center" vertical="center"/>
    </xf>
    <xf numFmtId="1" fontId="38" fillId="31" borderId="266" xfId="0" applyNumberFormat="1" applyFont="1" applyFill="1" applyBorder="1" applyAlignment="1">
      <alignment horizontal="center" vertical="center"/>
    </xf>
    <xf numFmtId="1" fontId="38" fillId="31" borderId="263" xfId="0" applyNumberFormat="1" applyFont="1" applyFill="1" applyBorder="1" applyAlignment="1">
      <alignment horizontal="center" vertical="center"/>
    </xf>
    <xf numFmtId="0" fontId="27" fillId="31" borderId="266" xfId="0" applyFont="1" applyFill="1" applyBorder="1" applyAlignment="1">
      <alignment horizontal="center" vertical="center"/>
    </xf>
    <xf numFmtId="0" fontId="27" fillId="31" borderId="267" xfId="0" applyFont="1" applyFill="1" applyBorder="1" applyAlignment="1">
      <alignment horizontal="center" vertical="center"/>
    </xf>
    <xf numFmtId="0" fontId="27" fillId="31" borderId="268" xfId="0" applyFont="1" applyFill="1" applyBorder="1" applyAlignment="1">
      <alignment horizontal="center" vertical="center"/>
    </xf>
    <xf numFmtId="0" fontId="38" fillId="31" borderId="262" xfId="0" applyFont="1" applyFill="1" applyBorder="1" applyAlignment="1">
      <alignment horizontal="center" vertical="center"/>
    </xf>
    <xf numFmtId="0" fontId="38" fillId="31" borderId="265" xfId="0" applyFont="1" applyFill="1" applyBorder="1" applyAlignment="1">
      <alignment horizontal="center" vertical="center"/>
    </xf>
    <xf numFmtId="1" fontId="38" fillId="29" borderId="264" xfId="0" applyNumberFormat="1" applyFont="1" applyFill="1" applyBorder="1" applyAlignment="1">
      <alignment horizontal="center" vertical="center"/>
    </xf>
    <xf numFmtId="1" fontId="38" fillId="29" borderId="263" xfId="0" applyNumberFormat="1" applyFont="1" applyFill="1" applyBorder="1" applyAlignment="1">
      <alignment horizontal="center" vertical="center"/>
    </xf>
    <xf numFmtId="1" fontId="27" fillId="29" borderId="266" xfId="0" applyNumberFormat="1" applyFont="1" applyFill="1" applyBorder="1" applyAlignment="1">
      <alignment horizontal="center" vertical="center"/>
    </xf>
    <xf numFmtId="1" fontId="27" fillId="29" borderId="267" xfId="0" applyNumberFormat="1" applyFont="1" applyFill="1" applyBorder="1" applyAlignment="1">
      <alignment horizontal="center" vertical="center"/>
    </xf>
    <xf numFmtId="1" fontId="27" fillId="29" borderId="268" xfId="0" applyNumberFormat="1" applyFont="1" applyFill="1" applyBorder="1" applyAlignment="1">
      <alignment horizontal="center" vertical="center"/>
    </xf>
    <xf numFmtId="0" fontId="38" fillId="78" borderId="262" xfId="0" applyFont="1" applyFill="1" applyBorder="1" applyAlignment="1">
      <alignment horizontal="center" vertical="center"/>
    </xf>
    <xf numFmtId="0" fontId="38" fillId="78" borderId="278" xfId="0" applyFont="1" applyFill="1" applyBorder="1" applyAlignment="1">
      <alignment horizontal="center" vertical="center"/>
    </xf>
    <xf numFmtId="0" fontId="38" fillId="30" borderId="261" xfId="0" applyFont="1" applyFill="1" applyBorder="1" applyAlignment="1">
      <alignment horizontal="left" vertical="center"/>
    </xf>
    <xf numFmtId="0" fontId="38" fillId="30" borderId="263" xfId="0" applyFont="1" applyFill="1" applyBorder="1" applyAlignment="1">
      <alignment horizontal="center" vertical="center"/>
    </xf>
    <xf numFmtId="0" fontId="38" fillId="30" borderId="295" xfId="0" applyFont="1" applyFill="1" applyBorder="1" applyAlignment="1">
      <alignment vertical="center"/>
    </xf>
    <xf numFmtId="0" fontId="38" fillId="30" borderId="315" xfId="0" applyFont="1" applyFill="1" applyBorder="1" applyAlignment="1">
      <alignment vertical="center"/>
    </xf>
    <xf numFmtId="0" fontId="38" fillId="30" borderId="281" xfId="0" applyFont="1" applyFill="1" applyBorder="1" applyAlignment="1">
      <alignment horizontal="center" vertical="center"/>
    </xf>
    <xf numFmtId="0" fontId="27" fillId="30" borderId="282" xfId="0" applyFont="1" applyFill="1" applyBorder="1" applyAlignment="1">
      <alignment horizontal="center" vertical="center"/>
    </xf>
    <xf numFmtId="0" fontId="27" fillId="30" borderId="296" xfId="0" applyFont="1" applyFill="1" applyBorder="1" applyAlignment="1">
      <alignment horizontal="center" vertical="center"/>
    </xf>
    <xf numFmtId="0" fontId="27" fillId="9" borderId="279" xfId="0" quotePrefix="1" applyFont="1" applyFill="1" applyBorder="1" applyAlignment="1">
      <alignment horizontal="center" vertical="center"/>
    </xf>
    <xf numFmtId="0" fontId="27" fillId="9" borderId="283" xfId="0" quotePrefix="1" applyFont="1" applyFill="1" applyBorder="1" applyAlignment="1">
      <alignment horizontal="center" vertical="center"/>
    </xf>
    <xf numFmtId="1" fontId="38" fillId="31" borderId="281" xfId="0" applyNumberFormat="1" applyFont="1" applyFill="1" applyBorder="1" applyAlignment="1">
      <alignment horizontal="center" vertical="center"/>
    </xf>
    <xf numFmtId="1" fontId="38" fillId="31" borderId="280" xfId="0" applyNumberFormat="1" applyFont="1" applyFill="1" applyBorder="1" applyAlignment="1">
      <alignment horizontal="center" vertical="center"/>
    </xf>
    <xf numFmtId="0" fontId="27" fillId="31" borderId="281" xfId="0" applyFont="1" applyFill="1" applyBorder="1" applyAlignment="1">
      <alignment horizontal="center" vertical="center"/>
    </xf>
    <xf numFmtId="0" fontId="27" fillId="31" borderId="282" xfId="0" applyFont="1" applyFill="1" applyBorder="1" applyAlignment="1">
      <alignment horizontal="center" vertical="center"/>
    </xf>
    <xf numFmtId="0" fontId="27" fillId="31" borderId="283" xfId="0" applyFont="1" applyFill="1" applyBorder="1" applyAlignment="1">
      <alignment horizontal="center" vertical="center"/>
    </xf>
    <xf numFmtId="0" fontId="38" fillId="31" borderId="284" xfId="0" applyFont="1" applyFill="1" applyBorder="1" applyAlignment="1">
      <alignment horizontal="center" vertical="center"/>
    </xf>
    <xf numFmtId="0" fontId="38" fillId="31" borderId="296" xfId="0" applyFont="1" applyFill="1" applyBorder="1" applyAlignment="1">
      <alignment horizontal="center" vertical="center"/>
    </xf>
    <xf numFmtId="1" fontId="38" fillId="29" borderId="279" xfId="0" applyNumberFormat="1" applyFont="1" applyFill="1" applyBorder="1" applyAlignment="1">
      <alignment horizontal="center" vertical="center"/>
    </xf>
    <xf numFmtId="1" fontId="38" fillId="29" borderId="280" xfId="0" applyNumberFormat="1" applyFont="1" applyFill="1" applyBorder="1" applyAlignment="1">
      <alignment horizontal="center" vertical="center"/>
    </xf>
    <xf numFmtId="1" fontId="27" fillId="29" borderId="281" xfId="0" applyNumberFormat="1" applyFont="1" applyFill="1" applyBorder="1" applyAlignment="1">
      <alignment horizontal="center" vertical="center"/>
    </xf>
    <xf numFmtId="1" fontId="27" fillId="29" borderId="282" xfId="0" applyNumberFormat="1" applyFont="1" applyFill="1" applyBorder="1" applyAlignment="1">
      <alignment horizontal="center" vertical="center"/>
    </xf>
    <xf numFmtId="1" fontId="27" fillId="29" borderId="283" xfId="0" applyNumberFormat="1" applyFont="1" applyFill="1" applyBorder="1" applyAlignment="1">
      <alignment horizontal="center" vertical="center"/>
    </xf>
    <xf numFmtId="0" fontId="38" fillId="78" borderId="284" xfId="0" applyFont="1" applyFill="1" applyBorder="1" applyAlignment="1">
      <alignment horizontal="center" vertical="center"/>
    </xf>
    <xf numFmtId="0" fontId="38" fillId="78" borderId="285" xfId="0" applyFont="1" applyFill="1" applyBorder="1" applyAlignment="1">
      <alignment horizontal="center" vertical="center"/>
    </xf>
    <xf numFmtId="0" fontId="38" fillId="47" borderId="127" xfId="53" applyFont="1" applyFill="1" applyBorder="1" applyAlignment="1">
      <alignment vertical="center"/>
    </xf>
    <xf numFmtId="0" fontId="56" fillId="14" borderId="0" xfId="0" applyFont="1" applyFill="1"/>
    <xf numFmtId="14" fontId="37" fillId="0" borderId="59" xfId="0" applyNumberFormat="1" applyFont="1" applyBorder="1" applyAlignment="1" applyProtection="1">
      <alignment horizontal="center" vertical="center"/>
      <protection locked="0"/>
    </xf>
    <xf numFmtId="0" fontId="28" fillId="0" borderId="60" xfId="0" applyFont="1" applyBorder="1" applyAlignment="1" applyProtection="1">
      <alignment vertical="center"/>
      <protection locked="0"/>
    </xf>
    <xf numFmtId="0" fontId="47" fillId="74" borderId="336" xfId="0" applyFont="1" applyFill="1" applyBorder="1" applyAlignment="1">
      <alignment horizontal="center" vertical="center" wrapText="1"/>
    </xf>
    <xf numFmtId="0" fontId="47" fillId="74" borderId="329" xfId="0" applyFont="1" applyFill="1" applyBorder="1" applyAlignment="1">
      <alignment horizontal="center" vertical="center" wrapText="1"/>
    </xf>
    <xf numFmtId="1" fontId="27" fillId="29" borderId="57" xfId="0" applyNumberFormat="1" applyFont="1" applyFill="1" applyBorder="1" applyAlignment="1">
      <alignment horizontal="center" vertical="center"/>
    </xf>
    <xf numFmtId="1" fontId="27" fillId="80" borderId="126" xfId="0" applyNumberFormat="1" applyFont="1" applyFill="1" applyBorder="1" applyAlignment="1">
      <alignment horizontal="center" vertical="center"/>
    </xf>
    <xf numFmtId="49" fontId="27" fillId="80" borderId="126" xfId="0" applyNumberFormat="1" applyFont="1" applyFill="1" applyBorder="1" applyAlignment="1">
      <alignment horizontal="center" vertical="center"/>
    </xf>
    <xf numFmtId="0" fontId="38" fillId="10" borderId="10" xfId="0" applyFont="1" applyFill="1" applyBorder="1" applyAlignment="1">
      <alignment horizontal="center" vertical="center"/>
    </xf>
    <xf numFmtId="0" fontId="15" fillId="14" borderId="10" xfId="0" applyFont="1" applyFill="1" applyBorder="1"/>
    <xf numFmtId="0" fontId="27" fillId="29" borderId="57" xfId="0" applyFont="1" applyFill="1" applyBorder="1" applyAlignment="1">
      <alignment horizontal="center" vertical="center"/>
    </xf>
    <xf numFmtId="49" fontId="27" fillId="79" borderId="126" xfId="0" applyNumberFormat="1" applyFont="1" applyFill="1" applyBorder="1" applyAlignment="1">
      <alignment horizontal="center" vertical="center"/>
    </xf>
    <xf numFmtId="0" fontId="27" fillId="30" borderId="0" xfId="0" applyFont="1" applyFill="1" applyBorder="1" applyAlignment="1">
      <alignment horizontal="center" vertical="center"/>
    </xf>
    <xf numFmtId="0" fontId="27" fillId="30" borderId="302" xfId="0" applyFont="1" applyFill="1" applyBorder="1" applyAlignment="1">
      <alignment horizontal="center" vertical="center"/>
    </xf>
    <xf numFmtId="0" fontId="27" fillId="79" borderId="126" xfId="0" applyFont="1" applyFill="1" applyBorder="1" applyAlignment="1">
      <alignment horizontal="center" vertical="center"/>
    </xf>
    <xf numFmtId="1" fontId="27" fillId="79" borderId="320" xfId="0" applyNumberFormat="1" applyFont="1" applyFill="1" applyBorder="1" applyAlignment="1">
      <alignment horizontal="center" vertical="center"/>
    </xf>
    <xf numFmtId="0" fontId="27" fillId="32" borderId="10" xfId="0" applyFont="1" applyFill="1" applyBorder="1" applyAlignment="1">
      <alignment horizontal="center" vertical="center"/>
    </xf>
    <xf numFmtId="0" fontId="27" fillId="30" borderId="49" xfId="0" applyFont="1" applyFill="1" applyBorder="1" applyAlignment="1">
      <alignment horizontal="center" vertical="center"/>
    </xf>
    <xf numFmtId="0" fontId="27" fillId="30" borderId="10" xfId="0" applyFont="1" applyFill="1" applyBorder="1" applyAlignment="1">
      <alignment horizontal="center" vertical="center"/>
    </xf>
    <xf numFmtId="0" fontId="27" fillId="79" borderId="320" xfId="0" applyFont="1" applyFill="1" applyBorder="1" applyAlignment="1">
      <alignment horizontal="center" vertical="center"/>
    </xf>
    <xf numFmtId="0" fontId="15" fillId="14" borderId="46" xfId="0" applyFont="1" applyFill="1" applyBorder="1" applyAlignment="1">
      <alignment horizontal="center"/>
    </xf>
    <xf numFmtId="0" fontId="15" fillId="14" borderId="78" xfId="0" applyFont="1" applyFill="1" applyBorder="1" applyAlignment="1">
      <alignment horizontal="center"/>
    </xf>
    <xf numFmtId="0" fontId="38" fillId="14" borderId="78" xfId="0" applyFont="1" applyFill="1" applyBorder="1" applyAlignment="1">
      <alignment horizontal="center"/>
    </xf>
    <xf numFmtId="0" fontId="15" fillId="0" borderId="10" xfId="0" applyFont="1" applyFill="1" applyBorder="1" applyAlignment="1">
      <alignment horizontal="center"/>
    </xf>
    <xf numFmtId="0" fontId="27" fillId="80" borderId="126" xfId="0" applyFont="1" applyFill="1" applyBorder="1" applyAlignment="1">
      <alignment horizontal="center" vertical="center"/>
    </xf>
    <xf numFmtId="0" fontId="27" fillId="58" borderId="126" xfId="0" applyFont="1" applyFill="1" applyBorder="1" applyAlignment="1">
      <alignment horizontal="center" vertical="center"/>
    </xf>
    <xf numFmtId="0" fontId="27" fillId="58" borderId="320" xfId="0" applyFont="1" applyFill="1" applyBorder="1" applyAlignment="1">
      <alignment horizontal="center" vertical="center"/>
    </xf>
    <xf numFmtId="0" fontId="27" fillId="58" borderId="322" xfId="0" applyFont="1" applyFill="1" applyBorder="1" applyAlignment="1">
      <alignment horizontal="center" vertical="center"/>
    </xf>
    <xf numFmtId="1" fontId="27" fillId="79" borderId="126" xfId="0" applyNumberFormat="1" applyFont="1" applyFill="1" applyBorder="1" applyAlignment="1">
      <alignment horizontal="center" vertical="center"/>
    </xf>
    <xf numFmtId="0" fontId="129" fillId="61" borderId="323" xfId="56" applyFont="1" applyFill="1" applyBorder="1" applyAlignment="1">
      <alignment vertical="center"/>
    </xf>
    <xf numFmtId="0" fontId="38" fillId="61" borderId="328" xfId="106" applyFont="1" applyFill="1" applyBorder="1" applyAlignment="1">
      <alignment horizontal="left" vertical="center" indent="1"/>
    </xf>
    <xf numFmtId="0" fontId="33" fillId="74" borderId="152" xfId="0" applyFont="1" applyFill="1" applyBorder="1" applyAlignment="1"/>
    <xf numFmtId="0" fontId="129" fillId="61" borderId="319" xfId="106" applyFont="1" applyFill="1" applyBorder="1" applyAlignment="1">
      <alignment horizontal="center" vertical="center"/>
    </xf>
    <xf numFmtId="0" fontId="47" fillId="61" borderId="331" xfId="106" applyFont="1" applyFill="1" applyBorder="1" applyAlignment="1">
      <alignment horizontal="center" vertical="center"/>
    </xf>
    <xf numFmtId="0" fontId="2" fillId="0" borderId="0" xfId="77"/>
    <xf numFmtId="0" fontId="28" fillId="61" borderId="331" xfId="77" applyFont="1" applyFill="1" applyBorder="1" applyAlignment="1">
      <alignment horizontal="center" vertical="center"/>
    </xf>
    <xf numFmtId="0" fontId="129" fillId="0" borderId="323" xfId="77" applyFont="1" applyFill="1" applyBorder="1" applyAlignment="1">
      <alignment vertical="center"/>
    </xf>
    <xf numFmtId="0" fontId="28" fillId="61" borderId="319" xfId="77" applyFont="1" applyFill="1" applyBorder="1" applyAlignment="1">
      <alignment horizontal="center" vertical="center"/>
    </xf>
    <xf numFmtId="0" fontId="2" fillId="0" borderId="0" xfId="77" applyFill="1" applyBorder="1"/>
    <xf numFmtId="0" fontId="28" fillId="79" borderId="126" xfId="77" applyFont="1" applyFill="1" applyBorder="1" applyAlignment="1">
      <alignment horizontal="center" vertical="center"/>
    </xf>
    <xf numFmtId="0" fontId="28" fillId="58" borderId="126" xfId="77" applyFont="1" applyFill="1" applyBorder="1" applyAlignment="1">
      <alignment horizontal="center" vertical="center"/>
    </xf>
    <xf numFmtId="0" fontId="28" fillId="39" borderId="126" xfId="77" applyFont="1" applyFill="1" applyBorder="1" applyAlignment="1">
      <alignment horizontal="center" vertical="center"/>
    </xf>
    <xf numFmtId="0" fontId="27" fillId="39" borderId="126" xfId="77" applyFont="1" applyFill="1" applyBorder="1" applyAlignment="1">
      <alignment horizontal="center" vertical="center"/>
    </xf>
    <xf numFmtId="0" fontId="27" fillId="39" borderId="0" xfId="77" applyFont="1" applyFill="1" applyBorder="1" applyAlignment="1">
      <alignment horizontal="center" vertical="center"/>
    </xf>
    <xf numFmtId="49" fontId="28" fillId="79" borderId="126" xfId="77" applyNumberFormat="1" applyFont="1" applyFill="1" applyBorder="1" applyAlignment="1">
      <alignment horizontal="center" vertical="center"/>
    </xf>
    <xf numFmtId="0" fontId="30" fillId="0" borderId="126" xfId="77" applyFont="1" applyBorder="1" applyAlignment="1">
      <alignment vertical="center"/>
    </xf>
    <xf numFmtId="0" fontId="47" fillId="85" borderId="205" xfId="0" applyFont="1" applyFill="1" applyBorder="1" applyAlignment="1">
      <alignment horizontal="center" vertical="center" wrapText="1"/>
    </xf>
    <xf numFmtId="0" fontId="43" fillId="79" borderId="331" xfId="77" applyFont="1" applyFill="1" applyBorder="1" applyAlignment="1">
      <alignment horizontal="center" vertical="center"/>
    </xf>
    <xf numFmtId="0" fontId="33" fillId="74" borderId="331" xfId="0" applyFont="1" applyFill="1" applyBorder="1" applyAlignment="1">
      <alignment horizontal="center" vertical="center" wrapText="1"/>
    </xf>
    <xf numFmtId="0" fontId="39" fillId="85" borderId="152" xfId="0" applyFont="1" applyFill="1" applyBorder="1" applyAlignment="1"/>
    <xf numFmtId="0" fontId="38" fillId="61" borderId="346" xfId="106" applyFont="1" applyFill="1" applyBorder="1" applyAlignment="1">
      <alignment horizontal="left" vertical="center" indent="1"/>
    </xf>
    <xf numFmtId="0" fontId="39" fillId="85" borderId="205" xfId="0" applyFont="1" applyFill="1" applyBorder="1" applyAlignment="1"/>
    <xf numFmtId="0" fontId="28" fillId="74" borderId="331" xfId="0" applyFont="1" applyFill="1" applyBorder="1" applyAlignment="1">
      <alignment horizontal="center" vertical="center" wrapText="1"/>
    </xf>
    <xf numFmtId="0" fontId="33" fillId="85" borderId="331" xfId="0" applyFont="1" applyFill="1" applyBorder="1" applyAlignment="1">
      <alignment horizontal="center" vertical="center"/>
    </xf>
    <xf numFmtId="0" fontId="39" fillId="74" borderId="205" xfId="0" applyFont="1" applyFill="1" applyBorder="1" applyAlignment="1">
      <alignment horizontal="center"/>
    </xf>
    <xf numFmtId="0" fontId="28" fillId="74" borderId="328" xfId="0" applyFont="1" applyFill="1" applyBorder="1" applyAlignment="1">
      <alignment horizontal="center" vertical="center"/>
    </xf>
    <xf numFmtId="0" fontId="33" fillId="85" borderId="319" xfId="0" applyFont="1" applyFill="1" applyBorder="1" applyAlignment="1">
      <alignment horizontal="center" vertical="center"/>
    </xf>
    <xf numFmtId="0" fontId="43" fillId="79" borderId="205" xfId="106" applyFont="1" applyFill="1" applyBorder="1" applyAlignment="1">
      <alignment horizontal="center" vertical="center"/>
    </xf>
    <xf numFmtId="0" fontId="2" fillId="61" borderId="344" xfId="106" applyFont="1" applyFill="1" applyBorder="1"/>
    <xf numFmtId="0" fontId="39" fillId="74" borderId="324" xfId="0" applyFont="1" applyFill="1" applyBorder="1" applyAlignment="1">
      <alignment horizontal="center"/>
    </xf>
    <xf numFmtId="0" fontId="129" fillId="79" borderId="328" xfId="106" applyFont="1" applyFill="1" applyBorder="1" applyAlignment="1">
      <alignment vertical="center"/>
    </xf>
    <xf numFmtId="0" fontId="129" fillId="79" borderId="331" xfId="106" applyFont="1" applyFill="1" applyBorder="1" applyAlignment="1">
      <alignment horizontal="center" vertical="center"/>
    </xf>
    <xf numFmtId="0" fontId="129" fillId="79" borderId="395" xfId="106" applyFont="1" applyFill="1" applyBorder="1" applyAlignment="1">
      <alignment vertical="center"/>
    </xf>
    <xf numFmtId="0" fontId="28" fillId="58" borderId="334" xfId="106" applyFont="1" applyFill="1" applyBorder="1" applyAlignment="1">
      <alignment horizontal="center" vertical="center"/>
    </xf>
    <xf numFmtId="0" fontId="129" fillId="61" borderId="323" xfId="106" applyFont="1" applyFill="1" applyBorder="1" applyAlignment="1">
      <alignment vertical="center"/>
    </xf>
    <xf numFmtId="0" fontId="129" fillId="70" borderId="323" xfId="106" applyFont="1" applyFill="1" applyBorder="1" applyAlignment="1">
      <alignment vertical="center"/>
    </xf>
    <xf numFmtId="0" fontId="129" fillId="61" borderId="394" xfId="106" applyFont="1" applyFill="1" applyBorder="1" applyAlignment="1">
      <alignment vertical="center"/>
    </xf>
    <xf numFmtId="0" fontId="129" fillId="70" borderId="162" xfId="106" applyFont="1" applyFill="1" applyBorder="1" applyAlignment="1">
      <alignment vertical="center"/>
    </xf>
    <xf numFmtId="0" fontId="129" fillId="70" borderId="134" xfId="106" applyFont="1" applyFill="1" applyBorder="1" applyAlignment="1">
      <alignment vertical="center"/>
    </xf>
    <xf numFmtId="0" fontId="129" fillId="61" borderId="337" xfId="106" applyFont="1" applyFill="1" applyBorder="1" applyAlignment="1">
      <alignment vertical="center"/>
    </xf>
    <xf numFmtId="0" fontId="2" fillId="70" borderId="144" xfId="106" applyFill="1" applyBorder="1"/>
    <xf numFmtId="0" fontId="2" fillId="70" borderId="335" xfId="106" applyFill="1" applyBorder="1"/>
    <xf numFmtId="0" fontId="28" fillId="85" borderId="319" xfId="0" applyFont="1" applyFill="1" applyBorder="1" applyAlignment="1">
      <alignment horizontal="center" vertical="center"/>
    </xf>
    <xf numFmtId="0" fontId="28" fillId="85" borderId="331" xfId="0" applyFont="1" applyFill="1" applyBorder="1" applyAlignment="1">
      <alignment horizontal="center" vertical="center"/>
    </xf>
    <xf numFmtId="0" fontId="47" fillId="82" borderId="395" xfId="0" applyFont="1" applyFill="1" applyBorder="1" applyAlignment="1">
      <alignment vertical="center"/>
    </xf>
    <xf numFmtId="0" fontId="28" fillId="61" borderId="320" xfId="106" applyFont="1" applyFill="1" applyBorder="1" applyAlignment="1">
      <alignment horizontal="center" vertical="center"/>
    </xf>
    <xf numFmtId="0" fontId="27" fillId="61" borderId="320" xfId="106" applyFont="1" applyFill="1" applyBorder="1" applyAlignment="1">
      <alignment horizontal="center" vertical="center"/>
    </xf>
    <xf numFmtId="0" fontId="47" fillId="61" borderId="320" xfId="106" applyFont="1" applyFill="1" applyBorder="1" applyAlignment="1">
      <alignment horizontal="center" vertical="center"/>
    </xf>
    <xf numFmtId="0" fontId="38" fillId="61" borderId="150" xfId="106" applyFont="1" applyFill="1" applyBorder="1" applyAlignment="1">
      <alignment horizontal="left" vertical="center" indent="1"/>
    </xf>
    <xf numFmtId="0" fontId="2" fillId="61" borderId="128" xfId="106" applyFont="1" applyFill="1" applyBorder="1"/>
    <xf numFmtId="0" fontId="129" fillId="61" borderId="231" xfId="106" applyFont="1" applyFill="1" applyBorder="1" applyAlignment="1">
      <alignment horizontal="center" vertical="center"/>
    </xf>
    <xf numFmtId="0" fontId="47" fillId="61" borderId="161" xfId="106" applyFont="1" applyFill="1" applyBorder="1" applyAlignment="1">
      <alignment horizontal="center" vertical="center"/>
    </xf>
    <xf numFmtId="0" fontId="47" fillId="61" borderId="232" xfId="106" applyFont="1" applyFill="1" applyBorder="1" applyAlignment="1">
      <alignment horizontal="center" vertical="center"/>
    </xf>
    <xf numFmtId="0" fontId="43" fillId="79" borderId="333" xfId="106" applyFont="1" applyFill="1" applyBorder="1" applyAlignment="1">
      <alignment horizontal="center" vertical="center"/>
    </xf>
    <xf numFmtId="0" fontId="129" fillId="47" borderId="328" xfId="106" applyFont="1" applyFill="1" applyBorder="1" applyAlignment="1">
      <alignment vertical="center"/>
    </xf>
    <xf numFmtId="1" fontId="28" fillId="47" borderId="223" xfId="106" applyNumberFormat="1" applyFont="1" applyFill="1" applyBorder="1" applyAlignment="1">
      <alignment horizontal="center" vertical="center"/>
    </xf>
    <xf numFmtId="1" fontId="28" fillId="47" borderId="395" xfId="106" applyNumberFormat="1" applyFont="1" applyFill="1" applyBorder="1" applyAlignment="1">
      <alignment horizontal="center" vertical="center"/>
    </xf>
    <xf numFmtId="1" fontId="28" fillId="47" borderId="328" xfId="106" applyNumberFormat="1" applyFont="1" applyFill="1" applyBorder="1" applyAlignment="1">
      <alignment horizontal="center" vertical="center"/>
    </xf>
    <xf numFmtId="0" fontId="129" fillId="47" borderId="395" xfId="106" applyFont="1" applyFill="1" applyBorder="1" applyAlignment="1">
      <alignment vertical="center"/>
    </xf>
    <xf numFmtId="0" fontId="28" fillId="47" borderId="319" xfId="106" applyFont="1" applyFill="1" applyBorder="1" applyAlignment="1">
      <alignment horizontal="center" vertical="center"/>
    </xf>
    <xf numFmtId="0" fontId="28" fillId="47" borderId="320" xfId="106" applyFont="1" applyFill="1" applyBorder="1" applyAlignment="1">
      <alignment horizontal="center" vertical="center"/>
    </xf>
    <xf numFmtId="0" fontId="28" fillId="47" borderId="331" xfId="106" applyFont="1" applyFill="1" applyBorder="1" applyAlignment="1">
      <alignment horizontal="center" vertical="center"/>
    </xf>
    <xf numFmtId="0" fontId="43" fillId="47" borderId="205" xfId="106" applyFont="1" applyFill="1" applyBorder="1" applyAlignment="1">
      <alignment horizontal="center" vertical="center"/>
    </xf>
    <xf numFmtId="0" fontId="43" fillId="47" borderId="331" xfId="106" applyFont="1" applyFill="1" applyBorder="1" applyAlignment="1">
      <alignment horizontal="center" vertical="center"/>
    </xf>
    <xf numFmtId="1" fontId="28" fillId="47" borderId="319" xfId="106" applyNumberFormat="1" applyFont="1" applyFill="1" applyBorder="1" applyAlignment="1">
      <alignment horizontal="center" vertical="center"/>
    </xf>
    <xf numFmtId="1" fontId="28" fillId="47" borderId="320" xfId="106" applyNumberFormat="1" applyFont="1" applyFill="1" applyBorder="1" applyAlignment="1">
      <alignment horizontal="center" vertical="center"/>
    </xf>
    <xf numFmtId="1" fontId="28" fillId="47" borderId="331" xfId="106" applyNumberFormat="1" applyFont="1" applyFill="1" applyBorder="1" applyAlignment="1">
      <alignment horizontal="center" vertical="center"/>
    </xf>
    <xf numFmtId="0" fontId="38" fillId="47" borderId="320" xfId="106" applyFont="1" applyFill="1" applyBorder="1" applyAlignment="1">
      <alignment vertical="center"/>
    </xf>
    <xf numFmtId="0" fontId="129" fillId="47" borderId="331" xfId="106" applyFont="1" applyFill="1" applyBorder="1" applyAlignment="1">
      <alignment horizontal="center" vertical="center"/>
    </xf>
    <xf numFmtId="49" fontId="28" fillId="47" borderId="319" xfId="106" applyNumberFormat="1" applyFont="1" applyFill="1" applyBorder="1" applyAlignment="1">
      <alignment horizontal="center" vertical="center"/>
    </xf>
    <xf numFmtId="1" fontId="28" fillId="47" borderId="231" xfId="106" applyNumberFormat="1" applyFont="1" applyFill="1" applyBorder="1" applyAlignment="1">
      <alignment horizontal="center" vertical="center"/>
    </xf>
    <xf numFmtId="1" fontId="28" fillId="47" borderId="161" xfId="106" applyNumberFormat="1" applyFont="1" applyFill="1" applyBorder="1" applyAlignment="1">
      <alignment horizontal="center" vertical="center"/>
    </xf>
    <xf numFmtId="1" fontId="28" fillId="47" borderId="232" xfId="106" applyNumberFormat="1" applyFont="1" applyFill="1" applyBorder="1" applyAlignment="1">
      <alignment horizontal="center" vertical="center"/>
    </xf>
    <xf numFmtId="0" fontId="38" fillId="47" borderId="161" xfId="106" applyFont="1" applyFill="1" applyBorder="1" applyAlignment="1">
      <alignment vertical="center"/>
    </xf>
    <xf numFmtId="0" fontId="129" fillId="47" borderId="232" xfId="106" applyFont="1" applyFill="1" applyBorder="1" applyAlignment="1">
      <alignment horizontal="center" vertical="center"/>
    </xf>
    <xf numFmtId="49" fontId="28" fillId="47" borderId="231" xfId="106" applyNumberFormat="1" applyFont="1" applyFill="1" applyBorder="1" applyAlignment="1">
      <alignment horizontal="center" vertical="center"/>
    </xf>
    <xf numFmtId="0" fontId="28" fillId="47" borderId="161" xfId="106" applyFont="1" applyFill="1" applyBorder="1" applyAlignment="1">
      <alignment horizontal="center" vertical="center"/>
    </xf>
    <xf numFmtId="1" fontId="28" fillId="47" borderId="359" xfId="106" applyNumberFormat="1" applyFont="1" applyFill="1" applyBorder="1" applyAlignment="1">
      <alignment horizontal="center" vertical="center"/>
    </xf>
    <xf numFmtId="0" fontId="43" fillId="47" borderId="333" xfId="106" applyFont="1" applyFill="1" applyBorder="1" applyAlignment="1">
      <alignment horizontal="center" vertical="center"/>
    </xf>
    <xf numFmtId="0" fontId="43" fillId="47" borderId="232" xfId="106" applyFont="1" applyFill="1" applyBorder="1" applyAlignment="1">
      <alignment horizontal="center" vertical="center"/>
    </xf>
    <xf numFmtId="1" fontId="129" fillId="79" borderId="223" xfId="106" applyNumberFormat="1" applyFont="1" applyFill="1" applyBorder="1" applyAlignment="1">
      <alignment horizontal="center" vertical="center"/>
    </xf>
    <xf numFmtId="1" fontId="129" fillId="79" borderId="395" xfId="106" applyNumberFormat="1" applyFont="1" applyFill="1" applyBorder="1" applyAlignment="1">
      <alignment horizontal="center" vertical="center"/>
    </xf>
    <xf numFmtId="1" fontId="129" fillId="79" borderId="328" xfId="106" applyNumberFormat="1" applyFont="1" applyFill="1" applyBorder="1" applyAlignment="1">
      <alignment horizontal="center" vertical="center"/>
    </xf>
    <xf numFmtId="0" fontId="43" fillId="79" borderId="324" xfId="106" applyFont="1" applyFill="1" applyBorder="1" applyAlignment="1">
      <alignment horizontal="center" vertical="center"/>
    </xf>
    <xf numFmtId="1" fontId="129" fillId="79" borderId="345" xfId="106" applyNumberFormat="1" applyFont="1" applyFill="1" applyBorder="1" applyAlignment="1">
      <alignment horizontal="center" vertical="center"/>
    </xf>
    <xf numFmtId="1" fontId="129" fillId="79" borderId="336" xfId="106" applyNumberFormat="1" applyFont="1" applyFill="1" applyBorder="1" applyAlignment="1">
      <alignment horizontal="center" vertical="center"/>
    </xf>
    <xf numFmtId="1" fontId="129" fillId="79" borderId="344" xfId="106" applyNumberFormat="1" applyFont="1" applyFill="1" applyBorder="1" applyAlignment="1">
      <alignment horizontal="center" vertical="center"/>
    </xf>
    <xf numFmtId="1" fontId="129" fillId="79" borderId="237" xfId="106" applyNumberFormat="1" applyFont="1" applyFill="1" applyBorder="1" applyAlignment="1">
      <alignment horizontal="center" vertical="center"/>
    </xf>
    <xf numFmtId="1" fontId="129" fillId="79" borderId="152" xfId="106" applyNumberFormat="1" applyFont="1" applyFill="1" applyBorder="1" applyAlignment="1">
      <alignment horizontal="center" vertical="center"/>
    </xf>
    <xf numFmtId="1" fontId="129" fillId="79" borderId="151" xfId="106" applyNumberFormat="1" applyFont="1" applyFill="1" applyBorder="1" applyAlignment="1">
      <alignment horizontal="center" vertical="center"/>
    </xf>
    <xf numFmtId="0" fontId="43" fillId="79" borderId="334" xfId="106" applyFont="1" applyFill="1" applyBorder="1" applyAlignment="1">
      <alignment horizontal="center" vertical="center"/>
    </xf>
    <xf numFmtId="0" fontId="28" fillId="58" borderId="324" xfId="106" applyFont="1" applyFill="1" applyBorder="1" applyAlignment="1">
      <alignment horizontal="center" vertical="center"/>
    </xf>
    <xf numFmtId="0" fontId="33" fillId="58" borderId="319" xfId="106" applyFont="1" applyFill="1" applyBorder="1" applyAlignment="1">
      <alignment horizontal="left" vertical="center"/>
    </xf>
    <xf numFmtId="0" fontId="33" fillId="58" borderId="231" xfId="106" applyFont="1" applyFill="1" applyBorder="1" applyAlignment="1">
      <alignment horizontal="left" vertical="center"/>
    </xf>
    <xf numFmtId="0" fontId="38" fillId="89" borderId="286" xfId="0" applyFont="1" applyFill="1" applyBorder="1" applyAlignment="1">
      <alignment horizontal="center" vertical="center" shrinkToFit="1"/>
    </xf>
    <xf numFmtId="0" fontId="38" fillId="89" borderId="298" xfId="0" applyFont="1" applyFill="1" applyBorder="1" applyAlignment="1">
      <alignment horizontal="center" vertical="center" shrinkToFit="1"/>
    </xf>
    <xf numFmtId="0" fontId="0" fillId="89" borderId="297" xfId="0" applyFont="1" applyFill="1" applyBorder="1" applyAlignment="1">
      <alignment horizontal="center" vertical="center"/>
    </xf>
    <xf numFmtId="0" fontId="0" fillId="89" borderId="298" xfId="0" applyFont="1" applyFill="1" applyBorder="1" applyAlignment="1">
      <alignment horizontal="center" vertical="center"/>
    </xf>
    <xf numFmtId="0" fontId="0" fillId="89" borderId="363" xfId="0" applyFont="1" applyFill="1" applyBorder="1" applyAlignment="1">
      <alignment horizontal="center" vertical="center"/>
    </xf>
    <xf numFmtId="0" fontId="37" fillId="89" borderId="290" xfId="0" applyFont="1" applyFill="1" applyBorder="1" applyAlignment="1">
      <alignment horizontal="center" vertical="center"/>
    </xf>
    <xf numFmtId="0" fontId="37" fillId="89" borderId="287" xfId="0" applyFont="1" applyFill="1" applyBorder="1" applyAlignment="1">
      <alignment horizontal="center" vertical="center"/>
    </xf>
    <xf numFmtId="0" fontId="38" fillId="90" borderId="13" xfId="0" applyFont="1" applyFill="1" applyBorder="1" applyAlignment="1">
      <alignment horizontal="center" vertical="center"/>
    </xf>
    <xf numFmtId="0" fontId="38" fillId="90" borderId="32" xfId="0" applyFont="1" applyFill="1" applyBorder="1" applyAlignment="1">
      <alignment horizontal="center" vertical="center"/>
    </xf>
    <xf numFmtId="0" fontId="27" fillId="90" borderId="57" xfId="0" applyFont="1" applyFill="1" applyBorder="1" applyAlignment="1">
      <alignment horizontal="center" vertical="center"/>
    </xf>
    <xf numFmtId="0" fontId="27" fillId="90" borderId="76" xfId="0" applyFont="1" applyFill="1" applyBorder="1" applyAlignment="1">
      <alignment horizontal="center" vertical="center"/>
    </xf>
    <xf numFmtId="0" fontId="38" fillId="90" borderId="200" xfId="0" applyFont="1" applyFill="1" applyBorder="1" applyAlignment="1">
      <alignment horizontal="center" vertical="center"/>
    </xf>
    <xf numFmtId="0" fontId="38" fillId="90" borderId="172" xfId="0" applyFont="1" applyFill="1" applyBorder="1" applyAlignment="1">
      <alignment horizontal="center" vertical="center"/>
    </xf>
    <xf numFmtId="0" fontId="27" fillId="90" borderId="175" xfId="0" applyFont="1" applyFill="1" applyBorder="1" applyAlignment="1">
      <alignment horizontal="center" vertical="center"/>
    </xf>
    <xf numFmtId="0" fontId="27" fillId="90" borderId="177" xfId="0" applyFont="1" applyFill="1" applyBorder="1" applyAlignment="1">
      <alignment horizontal="center" vertical="center"/>
    </xf>
    <xf numFmtId="0" fontId="38" fillId="90" borderId="207" xfId="0" applyFont="1" applyFill="1" applyBorder="1" applyAlignment="1">
      <alignment horizontal="center" vertical="center"/>
    </xf>
    <xf numFmtId="0" fontId="38" fillId="90" borderId="199" xfId="0" applyFont="1" applyFill="1" applyBorder="1" applyAlignment="1">
      <alignment horizontal="center" vertical="center"/>
    </xf>
    <xf numFmtId="0" fontId="27" fillId="90" borderId="208" xfId="0" applyFont="1" applyFill="1" applyBorder="1" applyAlignment="1">
      <alignment horizontal="center" vertical="center"/>
    </xf>
    <xf numFmtId="0" fontId="27" fillId="90" borderId="216" xfId="0" applyFont="1" applyFill="1" applyBorder="1" applyAlignment="1">
      <alignment horizontal="center" vertical="center"/>
    </xf>
    <xf numFmtId="0" fontId="38" fillId="90" borderId="202" xfId="0" applyFont="1" applyFill="1" applyBorder="1" applyAlignment="1">
      <alignment horizontal="center" vertical="center"/>
    </xf>
    <xf numFmtId="0" fontId="38" fillId="90" borderId="251" xfId="0" applyFont="1" applyFill="1" applyBorder="1" applyAlignment="1">
      <alignment horizontal="center" vertical="center"/>
    </xf>
    <xf numFmtId="0" fontId="27" fillId="90" borderId="215" xfId="0" applyFont="1" applyFill="1" applyBorder="1" applyAlignment="1">
      <alignment horizontal="center" vertical="center"/>
    </xf>
    <xf numFmtId="0" fontId="27" fillId="90" borderId="249" xfId="0" applyFont="1" applyFill="1" applyBorder="1" applyAlignment="1">
      <alignment horizontal="center" vertical="center"/>
    </xf>
    <xf numFmtId="0" fontId="38" fillId="90" borderId="303" xfId="0" applyFont="1" applyFill="1" applyBorder="1" applyAlignment="1">
      <alignment horizontal="center" vertical="center"/>
    </xf>
    <xf numFmtId="0" fontId="38" fillId="90" borderId="305" xfId="0" applyFont="1" applyFill="1" applyBorder="1" applyAlignment="1">
      <alignment horizontal="center" vertical="center"/>
    </xf>
    <xf numFmtId="0" fontId="27" fillId="90" borderId="302" xfId="0" applyFont="1" applyFill="1" applyBorder="1" applyAlignment="1">
      <alignment horizontal="center" vertical="center"/>
    </xf>
    <xf numFmtId="0" fontId="27" fillId="90" borderId="306" xfId="0" applyFont="1" applyFill="1" applyBorder="1" applyAlignment="1">
      <alignment horizontal="center" vertical="center"/>
    </xf>
    <xf numFmtId="0" fontId="38" fillId="90" borderId="313" xfId="0" applyFont="1" applyFill="1" applyBorder="1" applyAlignment="1">
      <alignment horizontal="center" vertical="center"/>
    </xf>
    <xf numFmtId="0" fontId="38" fillId="90" borderId="315" xfId="0" applyFont="1" applyFill="1" applyBorder="1" applyAlignment="1">
      <alignment horizontal="center" vertical="center"/>
    </xf>
    <xf numFmtId="0" fontId="27" fillId="90" borderId="312" xfId="0" applyFont="1" applyFill="1" applyBorder="1" applyAlignment="1">
      <alignment horizontal="center" vertical="center"/>
    </xf>
    <xf numFmtId="0" fontId="27" fillId="90" borderId="316" xfId="0" applyFont="1" applyFill="1" applyBorder="1" applyAlignment="1">
      <alignment horizontal="center" vertical="center"/>
    </xf>
    <xf numFmtId="0" fontId="38" fillId="90" borderId="389" xfId="0" applyFont="1" applyFill="1" applyBorder="1" applyAlignment="1">
      <alignment horizontal="center" vertical="center"/>
    </xf>
    <xf numFmtId="0" fontId="27" fillId="90" borderId="318" xfId="0" applyFont="1" applyFill="1" applyBorder="1" applyAlignment="1">
      <alignment horizontal="center" vertical="center"/>
    </xf>
    <xf numFmtId="0" fontId="27" fillId="90" borderId="390" xfId="0" applyFont="1" applyFill="1" applyBorder="1" applyAlignment="1">
      <alignment horizontal="center" vertical="center"/>
    </xf>
    <xf numFmtId="0" fontId="27" fillId="90" borderId="201" xfId="0" applyFont="1" applyFill="1" applyBorder="1" applyAlignment="1">
      <alignment horizontal="center" vertical="center"/>
    </xf>
    <xf numFmtId="0" fontId="38" fillId="90" borderId="211" xfId="0" applyFont="1" applyFill="1" applyBorder="1" applyAlignment="1">
      <alignment horizontal="center" vertical="center"/>
    </xf>
    <xf numFmtId="0" fontId="38" fillId="90" borderId="216" xfId="0" applyFont="1" applyFill="1" applyBorder="1" applyAlignment="1">
      <alignment horizontal="center" vertical="center"/>
    </xf>
    <xf numFmtId="0" fontId="38" fillId="90" borderId="57" xfId="0" applyFont="1" applyFill="1" applyBorder="1" applyAlignment="1">
      <alignment horizontal="center" vertical="center"/>
    </xf>
    <xf numFmtId="0" fontId="38" fillId="90" borderId="76" xfId="0" applyFont="1" applyFill="1" applyBorder="1" applyAlignment="1">
      <alignment horizontal="center" vertical="center"/>
    </xf>
    <xf numFmtId="0" fontId="38" fillId="90" borderId="175" xfId="0" applyFont="1" applyFill="1" applyBorder="1" applyAlignment="1">
      <alignment horizontal="center" vertical="center"/>
    </xf>
    <xf numFmtId="0" fontId="38" fillId="90" borderId="177" xfId="0" applyFont="1" applyFill="1" applyBorder="1" applyAlignment="1">
      <alignment horizontal="center" vertical="center"/>
    </xf>
    <xf numFmtId="0" fontId="38" fillId="90" borderId="208" xfId="0" applyFont="1" applyFill="1" applyBorder="1" applyAlignment="1">
      <alignment horizontal="center" vertical="center"/>
    </xf>
    <xf numFmtId="0" fontId="38" fillId="90" borderId="257" xfId="0" applyFont="1" applyFill="1" applyBorder="1" applyAlignment="1">
      <alignment horizontal="center" vertical="center"/>
    </xf>
    <xf numFmtId="0" fontId="38" fillId="90" borderId="259" xfId="0" applyFont="1" applyFill="1" applyBorder="1" applyAlignment="1">
      <alignment horizontal="center" vertical="center"/>
    </xf>
    <xf numFmtId="0" fontId="27" fillId="90" borderId="256" xfId="0" applyFont="1" applyFill="1" applyBorder="1" applyAlignment="1">
      <alignment horizontal="center" vertical="center"/>
    </xf>
    <xf numFmtId="0" fontId="38" fillId="90" borderId="179" xfId="0" applyFont="1" applyFill="1" applyBorder="1" applyAlignment="1">
      <alignment horizontal="center" vertical="center"/>
    </xf>
    <xf numFmtId="0" fontId="38" fillId="90" borderId="360" xfId="0" applyFont="1" applyFill="1" applyBorder="1" applyAlignment="1">
      <alignment horizontal="center" vertical="center"/>
    </xf>
    <xf numFmtId="0" fontId="38" fillId="90" borderId="378" xfId="0" applyFont="1" applyFill="1" applyBorder="1" applyAlignment="1">
      <alignment horizontal="center" vertical="center"/>
    </xf>
    <xf numFmtId="0" fontId="27" fillId="90" borderId="361" xfId="0" applyFont="1" applyFill="1" applyBorder="1" applyAlignment="1">
      <alignment horizontal="center" vertical="center"/>
    </xf>
    <xf numFmtId="0" fontId="38" fillId="90" borderId="381" xfId="0" applyFont="1" applyFill="1" applyBorder="1" applyAlignment="1">
      <alignment horizontal="center" vertical="center"/>
    </xf>
    <xf numFmtId="0" fontId="38" fillId="90" borderId="371" xfId="0" applyFont="1" applyFill="1" applyBorder="1" applyAlignment="1">
      <alignment horizontal="center" vertical="center"/>
    </xf>
    <xf numFmtId="0" fontId="38" fillId="90" borderId="373" xfId="0" applyFont="1" applyFill="1" applyBorder="1" applyAlignment="1">
      <alignment horizontal="center" vertical="center"/>
    </xf>
    <xf numFmtId="0" fontId="27" fillId="90" borderId="374" xfId="0" applyFont="1" applyFill="1" applyBorder="1" applyAlignment="1">
      <alignment horizontal="center" vertical="center"/>
    </xf>
    <xf numFmtId="0" fontId="38" fillId="90" borderId="382" xfId="0" applyFont="1" applyFill="1" applyBorder="1" applyAlignment="1">
      <alignment horizontal="center" vertical="center"/>
    </xf>
    <xf numFmtId="0" fontId="38" fillId="90" borderId="325" xfId="0" applyFont="1" applyFill="1" applyBorder="1" applyAlignment="1">
      <alignment vertical="center"/>
    </xf>
    <xf numFmtId="0" fontId="38" fillId="90" borderId="320" xfId="0" applyFont="1" applyFill="1" applyBorder="1" applyAlignment="1">
      <alignment vertical="center"/>
    </xf>
    <xf numFmtId="0" fontId="38" fillId="90" borderId="331" xfId="0" applyFont="1" applyFill="1" applyBorder="1" applyAlignment="1">
      <alignment vertical="center"/>
    </xf>
    <xf numFmtId="0" fontId="38" fillId="90" borderId="333" xfId="0" applyFont="1" applyFill="1" applyBorder="1" applyAlignment="1">
      <alignment vertical="center"/>
    </xf>
    <xf numFmtId="0" fontId="38" fillId="90" borderId="161" xfId="0" applyFont="1" applyFill="1" applyBorder="1" applyAlignment="1">
      <alignment vertical="center"/>
    </xf>
    <xf numFmtId="0" fontId="38" fillId="90" borderId="232" xfId="0" applyFont="1" applyFill="1" applyBorder="1" applyAlignment="1">
      <alignment vertical="center"/>
    </xf>
    <xf numFmtId="0" fontId="27" fillId="89" borderId="91" xfId="0" applyFont="1" applyFill="1" applyBorder="1" applyAlignment="1">
      <alignment horizontal="center" vertical="center" shrinkToFit="1"/>
    </xf>
    <xf numFmtId="0" fontId="0" fillId="89" borderId="94" xfId="0" applyFont="1" applyFill="1" applyBorder="1" applyAlignment="1">
      <alignment horizontal="center" vertical="center"/>
    </xf>
    <xf numFmtId="0" fontId="0" fillId="89" borderId="91" xfId="0" applyFont="1" applyFill="1" applyBorder="1" applyAlignment="1">
      <alignment horizontal="center" vertical="center"/>
    </xf>
    <xf numFmtId="0" fontId="0" fillId="89" borderId="90" xfId="0" applyFont="1" applyFill="1" applyBorder="1" applyAlignment="1">
      <alignment horizontal="center" vertical="center"/>
    </xf>
    <xf numFmtId="0" fontId="37" fillId="89" borderId="89" xfId="0" applyFont="1" applyFill="1" applyBorder="1" applyAlignment="1">
      <alignment horizontal="center" vertical="center" wrapText="1"/>
    </xf>
    <xf numFmtId="0" fontId="37" fillId="89" borderId="93" xfId="0" applyFont="1" applyFill="1" applyBorder="1" applyAlignment="1">
      <alignment horizontal="center" vertical="center" wrapText="1"/>
    </xf>
    <xf numFmtId="0" fontId="27" fillId="89" borderId="37" xfId="0" applyFont="1" applyFill="1" applyBorder="1" applyAlignment="1">
      <alignment horizontal="center" vertical="center" shrinkToFit="1"/>
    </xf>
    <xf numFmtId="0" fontId="0" fillId="89" borderId="35" xfId="0" applyFont="1" applyFill="1" applyBorder="1" applyAlignment="1">
      <alignment horizontal="center" vertical="center"/>
    </xf>
    <xf numFmtId="0" fontId="0" fillId="89" borderId="37" xfId="0" applyFont="1" applyFill="1" applyBorder="1" applyAlignment="1">
      <alignment horizontal="center" vertical="center"/>
    </xf>
    <xf numFmtId="0" fontId="0" fillId="89" borderId="38" xfId="0" applyFont="1" applyFill="1" applyBorder="1" applyAlignment="1">
      <alignment horizontal="center" vertical="center"/>
    </xf>
    <xf numFmtId="0" fontId="27" fillId="89" borderId="298" xfId="0" applyFont="1" applyFill="1" applyBorder="1" applyAlignment="1">
      <alignment horizontal="center" vertical="center" shrinkToFit="1"/>
    </xf>
    <xf numFmtId="0" fontId="37" fillId="89" borderId="290" xfId="0" applyFont="1" applyFill="1" applyBorder="1" applyAlignment="1">
      <alignment horizontal="center" vertical="center" wrapText="1"/>
    </xf>
    <xf numFmtId="0" fontId="37" fillId="89" borderId="287" xfId="0" applyFont="1" applyFill="1" applyBorder="1" applyAlignment="1">
      <alignment horizontal="center" vertical="center" wrapText="1"/>
    </xf>
    <xf numFmtId="0" fontId="37" fillId="89" borderId="80" xfId="0" applyFont="1" applyFill="1" applyBorder="1" applyAlignment="1">
      <alignment horizontal="center" vertical="center" wrapText="1"/>
    </xf>
    <xf numFmtId="0" fontId="37" fillId="89" borderId="36" xfId="0" applyFont="1" applyFill="1" applyBorder="1" applyAlignment="1">
      <alignment horizontal="center" vertical="center" wrapText="1"/>
    </xf>
    <xf numFmtId="0" fontId="28" fillId="74" borderId="319" xfId="106" applyFont="1" applyFill="1" applyBorder="1" applyAlignment="1">
      <alignment horizontal="center" vertical="center"/>
    </xf>
    <xf numFmtId="0" fontId="28" fillId="74" borderId="320" xfId="106" applyFont="1" applyFill="1" applyBorder="1" applyAlignment="1">
      <alignment horizontal="center" vertical="center"/>
    </xf>
    <xf numFmtId="0" fontId="28" fillId="74" borderId="331" xfId="106" applyFont="1" applyFill="1" applyBorder="1" applyAlignment="1">
      <alignment horizontal="center" vertical="center"/>
    </xf>
    <xf numFmtId="0" fontId="28" fillId="74" borderId="231" xfId="106" applyFont="1" applyFill="1" applyBorder="1" applyAlignment="1">
      <alignment horizontal="center" vertical="center"/>
    </xf>
    <xf numFmtId="0" fontId="28" fillId="74" borderId="161" xfId="106" applyFont="1" applyFill="1" applyBorder="1" applyAlignment="1">
      <alignment horizontal="center" vertical="center"/>
    </xf>
    <xf numFmtId="0" fontId="28" fillId="74" borderId="232" xfId="106" applyFont="1" applyFill="1" applyBorder="1" applyAlignment="1">
      <alignment horizontal="center" vertical="center"/>
    </xf>
    <xf numFmtId="0" fontId="43" fillId="47" borderId="331" xfId="77" applyFont="1" applyFill="1" applyBorder="1" applyAlignment="1">
      <alignment horizontal="center" vertical="center"/>
    </xf>
    <xf numFmtId="0" fontId="28" fillId="46" borderId="319" xfId="77" applyFont="1" applyFill="1" applyBorder="1" applyAlignment="1">
      <alignment horizontal="center" vertical="center"/>
    </xf>
    <xf numFmtId="0" fontId="28" fillId="46" borderId="331" xfId="77" applyFont="1" applyFill="1" applyBorder="1" applyAlignment="1">
      <alignment horizontal="center" vertical="center"/>
    </xf>
    <xf numFmtId="0" fontId="15" fillId="77" borderId="328" xfId="61" applyFont="1" applyFill="1" applyBorder="1" applyAlignment="1">
      <alignment horizontal="left" vertical="center" indent="1"/>
    </xf>
    <xf numFmtId="0" fontId="56" fillId="77" borderId="328" xfId="61" applyFont="1" applyFill="1" applyBorder="1" applyAlignment="1">
      <alignment horizontal="left" vertical="center" indent="1"/>
    </xf>
    <xf numFmtId="0" fontId="37" fillId="82" borderId="328" xfId="0" applyFont="1" applyFill="1" applyBorder="1" applyAlignment="1">
      <alignment vertical="center"/>
    </xf>
    <xf numFmtId="0" fontId="39" fillId="82" borderId="150" xfId="0" applyFont="1" applyFill="1" applyBorder="1" applyAlignment="1">
      <alignment vertical="center"/>
    </xf>
    <xf numFmtId="166" fontId="28" fillId="0" borderId="10" xfId="0" applyNumberFormat="1" applyFont="1" applyBorder="1" applyAlignment="1"/>
    <xf numFmtId="0" fontId="0" fillId="13" borderId="88" xfId="0" applyFont="1" applyFill="1" applyBorder="1" applyAlignment="1">
      <alignment horizontal="left" vertical="center"/>
    </xf>
    <xf numFmtId="0" fontId="25" fillId="13" borderId="76" xfId="0" applyFont="1" applyFill="1" applyBorder="1" applyAlignment="1">
      <alignment horizontal="center" vertical="center" wrapText="1"/>
    </xf>
    <xf numFmtId="0" fontId="17" fillId="13" borderId="306" xfId="0" applyFont="1" applyFill="1" applyBorder="1" applyAlignment="1">
      <alignment horizontal="center" vertical="center"/>
    </xf>
    <xf numFmtId="0" fontId="0" fillId="14" borderId="66" xfId="0" applyFill="1" applyBorder="1" applyAlignment="1">
      <alignment horizontal="center"/>
    </xf>
    <xf numFmtId="0" fontId="0" fillId="13" borderId="397" xfId="0" applyFont="1" applyFill="1" applyBorder="1" applyAlignment="1">
      <alignment horizontal="left" vertical="center"/>
    </xf>
    <xf numFmtId="0" fontId="0" fillId="13" borderId="398" xfId="0" applyFont="1" applyFill="1" applyBorder="1" applyAlignment="1">
      <alignment horizontal="center" vertical="center"/>
    </xf>
    <xf numFmtId="0" fontId="0" fillId="13" borderId="399" xfId="0" applyFont="1" applyFill="1" applyBorder="1" applyAlignment="1">
      <alignment horizontal="center" vertical="center"/>
    </xf>
    <xf numFmtId="0" fontId="0" fillId="13" borderId="400" xfId="0" applyFont="1" applyFill="1" applyBorder="1" applyAlignment="1">
      <alignment horizontal="center" vertical="center"/>
    </xf>
    <xf numFmtId="0" fontId="0" fillId="13" borderId="401" xfId="0" applyFont="1" applyFill="1" applyBorder="1" applyAlignment="1">
      <alignment horizontal="center" vertical="center"/>
    </xf>
    <xf numFmtId="0" fontId="0" fillId="13" borderId="402" xfId="0" applyFont="1" applyFill="1" applyBorder="1" applyAlignment="1">
      <alignment horizontal="center" vertical="center"/>
    </xf>
    <xf numFmtId="0" fontId="0" fillId="13" borderId="403" xfId="0" applyFont="1" applyFill="1" applyBorder="1" applyAlignment="1">
      <alignment horizontal="center" vertical="center"/>
    </xf>
    <xf numFmtId="0" fontId="0" fillId="13" borderId="341" xfId="0" applyFont="1" applyFill="1" applyBorder="1" applyAlignment="1" applyProtection="1">
      <alignment horizontal="center" vertical="center"/>
    </xf>
    <xf numFmtId="0" fontId="0" fillId="13" borderId="335" xfId="0" applyFont="1" applyFill="1" applyBorder="1" applyAlignment="1" applyProtection="1">
      <alignment horizontal="center" vertical="center"/>
    </xf>
    <xf numFmtId="0" fontId="0" fillId="13" borderId="397" xfId="0" applyFont="1" applyFill="1" applyBorder="1" applyAlignment="1" applyProtection="1">
      <alignment horizontal="left" vertical="center"/>
    </xf>
    <xf numFmtId="0" fontId="0" fillId="13" borderId="398" xfId="0" applyFont="1" applyFill="1" applyBorder="1" applyAlignment="1" applyProtection="1">
      <alignment horizontal="center" vertical="center"/>
    </xf>
    <xf numFmtId="0" fontId="0" fillId="13" borderId="399" xfId="0" applyFont="1" applyFill="1" applyBorder="1" applyAlignment="1" applyProtection="1">
      <alignment horizontal="center" vertical="center"/>
    </xf>
    <xf numFmtId="0" fontId="0" fillId="13" borderId="400" xfId="0" applyFont="1" applyFill="1" applyBorder="1" applyAlignment="1" applyProtection="1">
      <alignment horizontal="center" vertical="center"/>
    </xf>
    <xf numFmtId="0" fontId="0" fillId="13" borderId="401" xfId="0" applyFont="1" applyFill="1" applyBorder="1" applyAlignment="1" applyProtection="1">
      <alignment horizontal="center" vertical="center"/>
    </xf>
    <xf numFmtId="0" fontId="0" fillId="13" borderId="402" xfId="0" applyFont="1" applyFill="1" applyBorder="1" applyAlignment="1" applyProtection="1">
      <alignment horizontal="center" vertical="center"/>
    </xf>
    <xf numFmtId="166" fontId="0" fillId="0" borderId="10" xfId="0" applyNumberFormat="1" applyFont="1" applyBorder="1" applyAlignment="1">
      <alignment horizontal="center" vertical="center"/>
    </xf>
    <xf numFmtId="166" fontId="0" fillId="0" borderId="52" xfId="0" applyNumberFormat="1" applyFont="1" applyBorder="1" applyAlignment="1">
      <alignment horizontal="center" vertical="center"/>
    </xf>
    <xf numFmtId="166" fontId="0" fillId="0" borderId="75" xfId="0" applyNumberFormat="1" applyBorder="1" applyAlignment="1">
      <alignment horizontal="center" vertical="center"/>
    </xf>
    <xf numFmtId="166" fontId="0" fillId="0" borderId="53" xfId="0" applyNumberFormat="1" applyBorder="1" applyAlignment="1">
      <alignment horizontal="center" vertical="center"/>
    </xf>
    <xf numFmtId="166" fontId="0" fillId="0" borderId="52" xfId="0" applyNumberFormat="1" applyBorder="1" applyAlignment="1">
      <alignment horizontal="center"/>
    </xf>
    <xf numFmtId="166" fontId="0" fillId="0" borderId="62" xfId="0" applyNumberFormat="1" applyBorder="1" applyAlignment="1">
      <alignment horizontal="center"/>
    </xf>
    <xf numFmtId="0" fontId="0" fillId="13" borderId="404" xfId="0" applyFont="1" applyFill="1" applyBorder="1" applyAlignment="1" applyProtection="1">
      <alignment horizontal="center" vertical="center"/>
    </xf>
    <xf numFmtId="0" fontId="0" fillId="13" borderId="405" xfId="0" applyFont="1" applyFill="1" applyBorder="1" applyAlignment="1">
      <alignment horizontal="center" vertical="center"/>
    </xf>
    <xf numFmtId="0" fontId="0" fillId="14" borderId="54" xfId="0" applyFill="1" applyBorder="1" applyAlignment="1">
      <alignment horizontal="center" vertical="center"/>
    </xf>
    <xf numFmtId="0" fontId="0" fillId="14" borderId="66" xfId="0" applyFill="1" applyBorder="1" applyAlignment="1">
      <alignment horizontal="center" vertical="center"/>
    </xf>
    <xf numFmtId="0" fontId="0" fillId="14" borderId="55" xfId="0" applyFill="1" applyBorder="1" applyAlignment="1">
      <alignment horizontal="center" vertical="center"/>
    </xf>
    <xf numFmtId="0" fontId="0" fillId="13" borderId="350" xfId="0" applyFont="1" applyFill="1" applyBorder="1" applyAlignment="1">
      <alignment horizontal="center" vertical="center"/>
    </xf>
    <xf numFmtId="0" fontId="0" fillId="13" borderId="341" xfId="0" applyFont="1" applyFill="1" applyBorder="1" applyAlignment="1">
      <alignment horizontal="center" vertical="center"/>
    </xf>
    <xf numFmtId="0" fontId="0" fillId="13" borderId="335" xfId="0" applyFont="1" applyFill="1" applyBorder="1" applyAlignment="1">
      <alignment horizontal="center" vertical="center"/>
    </xf>
    <xf numFmtId="0" fontId="0" fillId="13" borderId="406" xfId="0" applyFont="1" applyFill="1" applyBorder="1" applyAlignment="1">
      <alignment horizontal="center" vertical="center"/>
    </xf>
    <xf numFmtId="0" fontId="0" fillId="13" borderId="350" xfId="0" applyFont="1" applyFill="1" applyBorder="1" applyAlignment="1">
      <alignment horizontal="left" vertical="center"/>
    </xf>
    <xf numFmtId="0" fontId="38" fillId="16" borderId="0" xfId="34" applyFont="1" applyFill="1" applyBorder="1" applyAlignment="1">
      <alignment vertical="center"/>
    </xf>
    <xf numFmtId="0" fontId="107" fillId="14" borderId="320" xfId="0" applyFont="1" applyFill="1" applyBorder="1" applyAlignment="1">
      <alignment horizontal="center" vertical="center" wrapText="1"/>
    </xf>
    <xf numFmtId="0" fontId="27" fillId="9" borderId="320" xfId="0" applyFont="1" applyFill="1" applyBorder="1" applyAlignment="1">
      <alignment horizontal="center" vertical="center"/>
    </xf>
    <xf numFmtId="0" fontId="27" fillId="9" borderId="319" xfId="0" quotePrefix="1" applyFont="1" applyFill="1" applyBorder="1" applyAlignment="1">
      <alignment horizontal="center" vertical="center"/>
    </xf>
    <xf numFmtId="0" fontId="28" fillId="9" borderId="231" xfId="0" quotePrefix="1" applyFont="1" applyFill="1" applyBorder="1" applyAlignment="1">
      <alignment horizontal="center" vertical="center"/>
    </xf>
    <xf numFmtId="0" fontId="28" fillId="9" borderId="232" xfId="0" quotePrefix="1" applyFont="1" applyFill="1" applyBorder="1" applyAlignment="1">
      <alignment horizontal="center" vertical="center"/>
    </xf>
    <xf numFmtId="0" fontId="38" fillId="70" borderId="134" xfId="106" applyFont="1" applyFill="1" applyBorder="1" applyAlignment="1">
      <alignment vertical="center"/>
    </xf>
    <xf numFmtId="0" fontId="38" fillId="70" borderId="240" xfId="106" applyFont="1" applyFill="1" applyBorder="1" applyAlignment="1">
      <alignment vertical="center"/>
    </xf>
    <xf numFmtId="0" fontId="129" fillId="61" borderId="319" xfId="77" applyFont="1" applyFill="1" applyBorder="1" applyAlignment="1">
      <alignment horizontal="center" vertical="center"/>
    </xf>
    <xf numFmtId="0" fontId="47" fillId="19" borderId="132" xfId="0" applyFont="1" applyFill="1" applyBorder="1" applyAlignment="1">
      <alignment horizontal="left" vertical="center"/>
    </xf>
    <xf numFmtId="0" fontId="47" fillId="19" borderId="133" xfId="0" applyFont="1" applyFill="1" applyBorder="1" applyAlignment="1">
      <alignment horizontal="left" vertical="center" indent="1"/>
    </xf>
    <xf numFmtId="0" fontId="46" fillId="19" borderId="0" xfId="0" applyFont="1" applyFill="1" applyBorder="1" applyAlignment="1">
      <alignment horizontal="center" vertical="center" shrinkToFit="1"/>
    </xf>
    <xf numFmtId="0" fontId="46" fillId="19" borderId="170" xfId="0" applyFont="1" applyFill="1" applyBorder="1" applyAlignment="1">
      <alignment horizontal="center" vertical="center" wrapText="1" shrinkToFit="1"/>
    </xf>
    <xf numFmtId="0" fontId="46" fillId="19" borderId="166" xfId="0" applyFont="1" applyFill="1" applyBorder="1" applyAlignment="1">
      <alignment horizontal="center" vertical="center" wrapText="1" shrinkToFit="1"/>
    </xf>
    <xf numFmtId="0" fontId="46" fillId="87" borderId="248" xfId="0" applyFont="1" applyFill="1" applyBorder="1" applyAlignment="1"/>
    <xf numFmtId="0" fontId="46" fillId="87" borderId="86" xfId="0" applyFont="1" applyFill="1" applyBorder="1" applyAlignment="1"/>
    <xf numFmtId="0" fontId="39" fillId="61" borderId="350" xfId="77" applyFont="1" applyFill="1" applyBorder="1" applyAlignment="1">
      <alignment horizontal="left" vertical="center" indent="1"/>
    </xf>
    <xf numFmtId="0" fontId="39" fillId="61" borderId="355" xfId="77" applyFont="1" applyFill="1" applyBorder="1" applyAlignment="1">
      <alignment horizontal="left" vertical="center" indent="1"/>
    </xf>
    <xf numFmtId="0" fontId="129" fillId="61" borderId="158" xfId="77" applyFont="1" applyFill="1" applyBorder="1" applyAlignment="1">
      <alignment horizontal="center" vertical="center"/>
    </xf>
    <xf numFmtId="0" fontId="47" fillId="61" borderId="159" xfId="77" applyFont="1" applyFill="1" applyBorder="1" applyAlignment="1">
      <alignment horizontal="center" vertical="center"/>
    </xf>
    <xf numFmtId="0" fontId="129" fillId="61" borderId="159" xfId="77" applyFont="1" applyFill="1" applyBorder="1" applyAlignment="1">
      <alignment horizontal="center" vertical="center"/>
    </xf>
    <xf numFmtId="0" fontId="28" fillId="61" borderId="159" xfId="77" applyFont="1" applyFill="1" applyBorder="1" applyAlignment="1">
      <alignment horizontal="center" vertical="center"/>
    </xf>
    <xf numFmtId="0" fontId="28" fillId="61" borderId="356" xfId="77" applyFont="1" applyFill="1" applyBorder="1" applyAlignment="1">
      <alignment horizontal="center" vertical="center"/>
    </xf>
    <xf numFmtId="0" fontId="28" fillId="46" borderId="158" xfId="77" applyFont="1" applyFill="1" applyBorder="1" applyAlignment="1">
      <alignment horizontal="center" vertical="center"/>
    </xf>
    <xf numFmtId="0" fontId="28" fillId="46" borderId="160" xfId="77" applyFont="1" applyFill="1" applyBorder="1" applyAlignment="1">
      <alignment horizontal="center" vertical="center"/>
    </xf>
    <xf numFmtId="1" fontId="28" fillId="79" borderId="341" xfId="77" applyNumberFormat="1" applyFont="1" applyFill="1" applyBorder="1" applyAlignment="1">
      <alignment horizontal="center" vertical="center"/>
    </xf>
    <xf numFmtId="0" fontId="28" fillId="79" borderId="159" xfId="77" applyFont="1" applyFill="1" applyBorder="1" applyAlignment="1">
      <alignment horizontal="center" vertical="center"/>
    </xf>
    <xf numFmtId="0" fontId="43" fillId="79" borderId="159" xfId="77" applyFont="1" applyFill="1" applyBorder="1" applyAlignment="1">
      <alignment horizontal="center" vertical="center"/>
    </xf>
    <xf numFmtId="0" fontId="43" fillId="79" borderId="160" xfId="77" applyFont="1" applyFill="1" applyBorder="1" applyAlignment="1">
      <alignment horizontal="center" vertical="center"/>
    </xf>
    <xf numFmtId="1" fontId="28" fillId="47" borderId="341" xfId="77" applyNumberFormat="1" applyFont="1" applyFill="1" applyBorder="1" applyAlignment="1">
      <alignment horizontal="center" vertical="center"/>
    </xf>
    <xf numFmtId="0" fontId="28" fillId="47" borderId="159" xfId="77" applyFont="1" applyFill="1" applyBorder="1" applyAlignment="1">
      <alignment horizontal="center" vertical="center"/>
    </xf>
    <xf numFmtId="0" fontId="43" fillId="47" borderId="159" xfId="77" applyFont="1" applyFill="1" applyBorder="1" applyAlignment="1">
      <alignment horizontal="center" vertical="center"/>
    </xf>
    <xf numFmtId="0" fontId="43" fillId="47" borderId="160" xfId="77" applyFont="1" applyFill="1" applyBorder="1" applyAlignment="1">
      <alignment horizontal="center" vertical="center"/>
    </xf>
    <xf numFmtId="0" fontId="39" fillId="61" borderId="328" xfId="77" applyFont="1" applyFill="1" applyBorder="1" applyAlignment="1">
      <alignment horizontal="left" vertical="center" indent="1"/>
    </xf>
    <xf numFmtId="0" fontId="39" fillId="61" borderId="414" xfId="77" applyFont="1" applyFill="1" applyBorder="1" applyAlignment="1">
      <alignment horizontal="left" vertical="center" indent="1"/>
    </xf>
    <xf numFmtId="0" fontId="129" fillId="61" borderId="414" xfId="77" applyFont="1" applyFill="1" applyBorder="1" applyAlignment="1">
      <alignment horizontal="center" vertical="center"/>
    </xf>
    <xf numFmtId="0" fontId="47" fillId="61" borderId="415" xfId="77" applyFont="1" applyFill="1" applyBorder="1" applyAlignment="1">
      <alignment horizontal="center" vertical="center"/>
    </xf>
    <xf numFmtId="0" fontId="129" fillId="61" borderId="415" xfId="77" applyFont="1" applyFill="1" applyBorder="1" applyAlignment="1">
      <alignment horizontal="center" vertical="center"/>
    </xf>
    <xf numFmtId="0" fontId="28" fillId="61" borderId="415" xfId="77" applyFont="1" applyFill="1" applyBorder="1" applyAlignment="1">
      <alignment horizontal="center" vertical="center"/>
    </xf>
    <xf numFmtId="0" fontId="28" fillId="61" borderId="416" xfId="77" applyFont="1" applyFill="1" applyBorder="1" applyAlignment="1">
      <alignment horizontal="center" vertical="center"/>
    </xf>
    <xf numFmtId="1" fontId="28" fillId="79" borderId="417" xfId="77" applyNumberFormat="1" applyFont="1" applyFill="1" applyBorder="1" applyAlignment="1">
      <alignment horizontal="center" vertical="center"/>
    </xf>
    <xf numFmtId="0" fontId="28" fillId="79" borderId="415" xfId="77" applyFont="1" applyFill="1" applyBorder="1" applyAlignment="1">
      <alignment horizontal="center" vertical="center"/>
    </xf>
    <xf numFmtId="0" fontId="43" fillId="79" borderId="415" xfId="77" applyFont="1" applyFill="1" applyBorder="1" applyAlignment="1">
      <alignment horizontal="center" vertical="center"/>
    </xf>
    <xf numFmtId="1" fontId="28" fillId="47" borderId="417" xfId="77" applyNumberFormat="1" applyFont="1" applyFill="1" applyBorder="1" applyAlignment="1">
      <alignment horizontal="center" vertical="center"/>
    </xf>
    <xf numFmtId="0" fontId="28" fillId="47" borderId="415" xfId="77" applyFont="1" applyFill="1" applyBorder="1" applyAlignment="1">
      <alignment horizontal="center" vertical="center"/>
    </xf>
    <xf numFmtId="0" fontId="43" fillId="47" borderId="415" xfId="77" applyFont="1" applyFill="1" applyBorder="1" applyAlignment="1">
      <alignment horizontal="center" vertical="center"/>
    </xf>
    <xf numFmtId="0" fontId="56" fillId="77" borderId="418" xfId="61" applyFont="1" applyFill="1" applyBorder="1" applyAlignment="1">
      <alignment horizontal="left" vertical="center" indent="1"/>
    </xf>
    <xf numFmtId="0" fontId="0" fillId="61" borderId="415" xfId="77" applyFont="1" applyFill="1" applyBorder="1" applyAlignment="1">
      <alignment horizontal="center" vertical="center"/>
    </xf>
    <xf numFmtId="0" fontId="39" fillId="61" borderId="224" xfId="77" applyFont="1" applyFill="1" applyBorder="1" applyAlignment="1">
      <alignment horizontal="left" vertical="center" indent="1"/>
    </xf>
    <xf numFmtId="0" fontId="39" fillId="61" borderId="333" xfId="77" applyFont="1" applyFill="1" applyBorder="1" applyAlignment="1">
      <alignment horizontal="left" vertical="center" indent="1"/>
    </xf>
    <xf numFmtId="0" fontId="129" fillId="61" borderId="231" xfId="77" applyFont="1" applyFill="1" applyBorder="1" applyAlignment="1">
      <alignment horizontal="center" vertical="center"/>
    </xf>
    <xf numFmtId="0" fontId="47" fillId="61" borderId="161" xfId="77" applyFont="1" applyFill="1" applyBorder="1" applyAlignment="1">
      <alignment horizontal="center" vertical="center"/>
    </xf>
    <xf numFmtId="0" fontId="129" fillId="61" borderId="161" xfId="77" applyFont="1" applyFill="1" applyBorder="1" applyAlignment="1">
      <alignment horizontal="center" vertical="center"/>
    </xf>
    <xf numFmtId="0" fontId="28" fillId="61" borderId="161" xfId="77" applyFont="1" applyFill="1" applyBorder="1" applyAlignment="1">
      <alignment horizontal="center" vertical="center"/>
    </xf>
    <xf numFmtId="0" fontId="28" fillId="61" borderId="334" xfId="77" applyFont="1" applyFill="1" applyBorder="1" applyAlignment="1">
      <alignment horizontal="center" vertical="center"/>
    </xf>
    <xf numFmtId="0" fontId="28" fillId="46" borderId="237" xfId="77" applyFont="1" applyFill="1" applyBorder="1" applyAlignment="1">
      <alignment horizontal="center" vertical="center"/>
    </xf>
    <xf numFmtId="0" fontId="28" fillId="46" borderId="232" xfId="77" applyFont="1" applyFill="1" applyBorder="1" applyAlignment="1">
      <alignment horizontal="center" vertical="center"/>
    </xf>
    <xf numFmtId="1" fontId="28" fillId="79" borderId="128" xfId="77" applyNumberFormat="1" applyFont="1" applyFill="1" applyBorder="1" applyAlignment="1">
      <alignment horizontal="center" vertical="center"/>
    </xf>
    <xf numFmtId="1" fontId="28" fillId="79" borderId="332" xfId="77" applyNumberFormat="1" applyFont="1" applyFill="1" applyBorder="1" applyAlignment="1">
      <alignment horizontal="center" vertical="center"/>
    </xf>
    <xf numFmtId="0" fontId="28" fillId="79" borderId="161" xfId="77" applyFont="1" applyFill="1" applyBorder="1" applyAlignment="1">
      <alignment horizontal="center" vertical="center"/>
    </xf>
    <xf numFmtId="0" fontId="43" fillId="79" borderId="161" xfId="77" applyFont="1" applyFill="1" applyBorder="1" applyAlignment="1">
      <alignment horizontal="center" vertical="center"/>
    </xf>
    <xf numFmtId="0" fontId="43" fillId="79" borderId="232" xfId="77" applyFont="1" applyFill="1" applyBorder="1" applyAlignment="1">
      <alignment horizontal="center" vertical="center"/>
    </xf>
    <xf numFmtId="1" fontId="28" fillId="47" borderId="332" xfId="77" applyNumberFormat="1" applyFont="1" applyFill="1" applyBorder="1" applyAlignment="1">
      <alignment horizontal="center" vertical="center"/>
    </xf>
    <xf numFmtId="0" fontId="28" fillId="47" borderId="161" xfId="77" applyFont="1" applyFill="1" applyBorder="1" applyAlignment="1">
      <alignment horizontal="center" vertical="center"/>
    </xf>
    <xf numFmtId="0" fontId="43" fillId="47" borderId="161" xfId="77" applyFont="1" applyFill="1" applyBorder="1" applyAlignment="1">
      <alignment horizontal="center" vertical="center"/>
    </xf>
    <xf numFmtId="0" fontId="43" fillId="47" borderId="232" xfId="77" applyFont="1" applyFill="1" applyBorder="1" applyAlignment="1">
      <alignment horizontal="center" vertical="center"/>
    </xf>
    <xf numFmtId="0" fontId="28" fillId="46" borderId="319" xfId="77" quotePrefix="1" applyFont="1" applyFill="1" applyBorder="1" applyAlignment="1">
      <alignment horizontal="center" vertical="center"/>
    </xf>
    <xf numFmtId="0" fontId="50" fillId="0" borderId="0" xfId="25"/>
    <xf numFmtId="0" fontId="37" fillId="0" borderId="0" xfId="0" applyFont="1" applyAlignment="1">
      <alignment vertical="center" wrapText="1"/>
    </xf>
    <xf numFmtId="0" fontId="56" fillId="0" borderId="0" xfId="0" applyFont="1"/>
    <xf numFmtId="0" fontId="169" fillId="0" borderId="0" xfId="0" applyFont="1" applyAlignment="1">
      <alignment vertical="center" wrapText="1"/>
    </xf>
    <xf numFmtId="0" fontId="182" fillId="0" borderId="0" xfId="25" applyFont="1"/>
    <xf numFmtId="0" fontId="23" fillId="0" borderId="0" xfId="0" applyFont="1"/>
    <xf numFmtId="0" fontId="33" fillId="19" borderId="10" xfId="0" applyFont="1" applyFill="1" applyBorder="1" applyAlignment="1">
      <alignment horizontal="right" wrapText="1"/>
    </xf>
    <xf numFmtId="2" fontId="187" fillId="91" borderId="419" xfId="54" applyNumberFormat="1" applyFont="1" applyFill="1" applyBorder="1" applyAlignment="1" applyProtection="1">
      <alignment horizontal="center" vertical="center" shrinkToFit="1"/>
      <protection locked="0"/>
    </xf>
    <xf numFmtId="0" fontId="178" fillId="92" borderId="420" xfId="54" applyFont="1" applyFill="1" applyBorder="1" applyAlignment="1" applyProtection="1">
      <alignment horizontal="center" vertical="center" wrapText="1"/>
      <protection locked="0"/>
    </xf>
    <xf numFmtId="0" fontId="106" fillId="14" borderId="0" xfId="0" applyFont="1" applyFill="1" applyBorder="1" applyAlignment="1">
      <alignment horizontal="left" vertical="center" indent="3"/>
    </xf>
    <xf numFmtId="0" fontId="0" fillId="93" borderId="420" xfId="138" applyNumberFormat="1" applyFont="1" applyFill="1" applyBorder="1" applyAlignment="1">
      <alignment horizontal="center" vertical="center"/>
    </xf>
    <xf numFmtId="0" fontId="0" fillId="93" borderId="421" xfId="138" applyNumberFormat="1" applyFont="1" applyFill="1" applyBorder="1" applyAlignment="1">
      <alignment horizontal="center" vertical="center"/>
    </xf>
    <xf numFmtId="0" fontId="39" fillId="10" borderId="78" xfId="34" applyFont="1" applyFill="1" applyBorder="1" applyAlignment="1" applyProtection="1">
      <alignment horizontal="left" vertical="center" wrapText="1"/>
    </xf>
    <xf numFmtId="0" fontId="38" fillId="16" borderId="0" xfId="34" applyFont="1" applyFill="1" applyBorder="1" applyAlignment="1" applyProtection="1">
      <alignment horizontal="left" vertical="center" wrapText="1" indent="1"/>
    </xf>
    <xf numFmtId="0" fontId="38" fillId="16" borderId="0" xfId="0" applyFont="1" applyFill="1" applyBorder="1" applyAlignment="1" applyProtection="1">
      <alignment horizontal="left" vertical="center" wrapText="1" indent="1"/>
    </xf>
    <xf numFmtId="0" fontId="57" fillId="13" borderId="71" xfId="25" applyNumberFormat="1" applyFont="1" applyFill="1" applyBorder="1" applyAlignment="1" applyProtection="1">
      <alignment horizontal="left" vertical="center"/>
    </xf>
    <xf numFmtId="0" fontId="27" fillId="16" borderId="0" xfId="34" applyFont="1" applyFill="1" applyBorder="1" applyAlignment="1" applyProtection="1">
      <alignment horizontal="left" vertical="center" wrapText="1"/>
    </xf>
    <xf numFmtId="0" fontId="39" fillId="10" borderId="170" xfId="34" applyFont="1" applyFill="1" applyBorder="1" applyAlignment="1" applyProtection="1">
      <alignment horizontal="left" vertical="center" wrapText="1"/>
    </xf>
    <xf numFmtId="0" fontId="39" fillId="10" borderId="0" xfId="34" applyFont="1" applyFill="1" applyBorder="1" applyAlignment="1" applyProtection="1">
      <alignment horizontal="left" vertical="center" wrapText="1"/>
    </xf>
    <xf numFmtId="0" fontId="39" fillId="10" borderId="248" xfId="34" applyFont="1" applyFill="1" applyBorder="1" applyAlignment="1" applyProtection="1">
      <alignment horizontal="left" vertical="center" wrapText="1"/>
    </xf>
    <xf numFmtId="0" fontId="39" fillId="10" borderId="249" xfId="34" applyFont="1" applyFill="1" applyBorder="1" applyAlignment="1" applyProtection="1">
      <alignment horizontal="left" vertical="center" wrapText="1"/>
    </xf>
    <xf numFmtId="0" fontId="39" fillId="10" borderId="251" xfId="34" applyFont="1" applyFill="1" applyBorder="1" applyAlignment="1" applyProtection="1">
      <alignment horizontal="left" vertical="center" wrapText="1"/>
    </xf>
    <xf numFmtId="0" fontId="39" fillId="10" borderId="250" xfId="34" applyFont="1" applyFill="1" applyBorder="1" applyAlignment="1" applyProtection="1">
      <alignment horizontal="left" vertical="center" wrapText="1"/>
    </xf>
    <xf numFmtId="0" fontId="45" fillId="16" borderId="11" xfId="34" applyFont="1" applyFill="1" applyBorder="1" applyAlignment="1">
      <alignment horizontal="center" vertical="center" wrapText="1"/>
    </xf>
    <xf numFmtId="0" fontId="47" fillId="0" borderId="60" xfId="34" applyFont="1" applyFill="1" applyBorder="1" applyAlignment="1">
      <alignment horizontal="center" vertical="center" wrapText="1"/>
    </xf>
    <xf numFmtId="0" fontId="51" fillId="16" borderId="0" xfId="25" applyNumberFormat="1" applyFont="1" applyFill="1" applyBorder="1" applyAlignment="1" applyProtection="1">
      <alignment horizontal="center" vertical="center"/>
    </xf>
    <xf numFmtId="0" fontId="54" fillId="16" borderId="0" xfId="0" applyFont="1" applyFill="1" applyBorder="1" applyAlignment="1" applyProtection="1">
      <alignment horizontal="left" vertical="center" wrapText="1" indent="1"/>
    </xf>
    <xf numFmtId="0" fontId="0" fillId="10" borderId="10" xfId="0" applyFont="1" applyFill="1" applyBorder="1" applyAlignment="1" applyProtection="1">
      <alignment horizontal="left" vertical="center" wrapText="1"/>
    </xf>
    <xf numFmtId="0" fontId="0" fillId="10" borderId="252" xfId="0" applyFont="1" applyFill="1" applyBorder="1" applyAlignment="1" applyProtection="1">
      <alignment horizontal="left" vertical="center" wrapText="1"/>
    </xf>
    <xf numFmtId="0" fontId="0" fillId="10" borderId="112" xfId="0" applyFont="1" applyFill="1" applyBorder="1" applyAlignment="1" applyProtection="1">
      <alignment horizontal="left" vertical="center"/>
    </xf>
    <xf numFmtId="0" fontId="37" fillId="10" borderId="170" xfId="34" applyFont="1" applyFill="1" applyBorder="1" applyAlignment="1" applyProtection="1">
      <alignment horizontal="left" vertical="center" wrapText="1"/>
    </xf>
    <xf numFmtId="0" fontId="37" fillId="10" borderId="0" xfId="34" applyFont="1" applyFill="1" applyBorder="1" applyAlignment="1" applyProtection="1">
      <alignment horizontal="left" vertical="center" wrapText="1"/>
    </xf>
    <xf numFmtId="0" fontId="37" fillId="10" borderId="248" xfId="34" applyFont="1" applyFill="1" applyBorder="1" applyAlignment="1" applyProtection="1">
      <alignment horizontal="left" vertical="center" wrapText="1"/>
    </xf>
    <xf numFmtId="0" fontId="37" fillId="10" borderId="253" xfId="34" applyFont="1" applyFill="1" applyBorder="1" applyAlignment="1" applyProtection="1">
      <alignment horizontal="left" vertical="center" wrapText="1"/>
    </xf>
    <xf numFmtId="0" fontId="37" fillId="10" borderId="254" xfId="34" applyFont="1" applyFill="1" applyBorder="1" applyAlignment="1" applyProtection="1">
      <alignment horizontal="left" vertical="center" wrapText="1"/>
    </xf>
    <xf numFmtId="0" fontId="37" fillId="10" borderId="255" xfId="34" applyFont="1" applyFill="1" applyBorder="1" applyAlignment="1" applyProtection="1">
      <alignment horizontal="left" vertical="center" wrapText="1"/>
    </xf>
    <xf numFmtId="0" fontId="15" fillId="16" borderId="0" xfId="0" applyFont="1" applyFill="1" applyBorder="1" applyAlignment="1" applyProtection="1">
      <alignment horizontal="left" vertical="center" wrapText="1" indent="1"/>
    </xf>
    <xf numFmtId="0" fontId="38" fillId="16" borderId="0" xfId="34" applyFont="1" applyFill="1" applyBorder="1" applyAlignment="1" applyProtection="1">
      <alignment horizontal="left" vertical="top" wrapText="1"/>
    </xf>
    <xf numFmtId="0" fontId="28" fillId="16" borderId="10" xfId="0" applyFont="1" applyFill="1" applyBorder="1" applyAlignment="1">
      <alignment vertical="center" wrapText="1"/>
    </xf>
    <xf numFmtId="0" fontId="28" fillId="16" borderId="10" xfId="34" applyFont="1" applyFill="1" applyBorder="1" applyAlignment="1">
      <alignment horizontal="center" vertical="center" wrapText="1"/>
    </xf>
    <xf numFmtId="0" fontId="17" fillId="16" borderId="52" xfId="34" applyFont="1" applyFill="1" applyBorder="1" applyAlignment="1">
      <alignment horizontal="center" vertical="center" wrapText="1"/>
    </xf>
    <xf numFmtId="0" fontId="0" fillId="16" borderId="10" xfId="0" applyFont="1" applyFill="1" applyBorder="1" applyAlignment="1">
      <alignment horizontal="left" vertical="center" wrapText="1"/>
    </xf>
    <xf numFmtId="0" fontId="9" fillId="0" borderId="407" xfId="0" applyFont="1" applyBorder="1" applyAlignment="1">
      <alignment horizontal="center" vertical="center" wrapText="1"/>
    </xf>
    <xf numFmtId="0" fontId="9" fillId="0" borderId="408" xfId="0" applyFont="1" applyBorder="1" applyAlignment="1">
      <alignment horizontal="center" vertical="center" wrapText="1"/>
    </xf>
    <xf numFmtId="0" fontId="58" fillId="16" borderId="10" xfId="34" applyFont="1" applyFill="1" applyBorder="1" applyAlignment="1">
      <alignment horizontal="center" vertical="center" wrapText="1"/>
    </xf>
    <xf numFmtId="0" fontId="38" fillId="10" borderId="10" xfId="34" applyFont="1" applyFill="1" applyBorder="1" applyAlignment="1" applyProtection="1">
      <alignment horizontal="left" vertical="center"/>
      <protection locked="0"/>
    </xf>
    <xf numFmtId="0" fontId="55" fillId="0" borderId="10" xfId="0" applyFont="1" applyBorder="1" applyAlignment="1">
      <alignment horizontal="center" vertical="center"/>
    </xf>
    <xf numFmtId="0" fontId="28" fillId="19" borderId="11" xfId="34" applyFont="1" applyFill="1" applyBorder="1" applyAlignment="1">
      <alignment horizontal="left" vertical="center" wrapText="1"/>
    </xf>
    <xf numFmtId="0" fontId="30" fillId="0" borderId="10" xfId="0" applyFont="1" applyBorder="1" applyAlignment="1" applyProtection="1">
      <alignment horizontal="left" vertical="center" wrapText="1"/>
    </xf>
    <xf numFmtId="0" fontId="23" fillId="18" borderId="10" xfId="0" applyFont="1" applyFill="1" applyBorder="1" applyAlignment="1">
      <alignment horizontal="center" vertical="center" wrapText="1"/>
    </xf>
    <xf numFmtId="0" fontId="61" fillId="0" borderId="324" xfId="25" applyNumberFormat="1" applyFont="1" applyFill="1" applyBorder="1" applyAlignment="1" applyProtection="1">
      <alignment horizontal="center" vertical="center"/>
    </xf>
    <xf numFmtId="0" fontId="61" fillId="0" borderId="412" xfId="25" applyNumberFormat="1" applyFont="1" applyFill="1" applyBorder="1" applyAlignment="1" applyProtection="1">
      <alignment horizontal="center" vertical="center"/>
    </xf>
    <xf numFmtId="0" fontId="61" fillId="0" borderId="413" xfId="25" applyNumberFormat="1" applyFont="1" applyFill="1" applyBorder="1" applyAlignment="1" applyProtection="1">
      <alignment horizontal="center" vertical="center"/>
    </xf>
    <xf numFmtId="0" fontId="38" fillId="16" borderId="189" xfId="34" applyFont="1" applyFill="1" applyBorder="1" applyAlignment="1">
      <alignment horizontal="left" vertical="center" wrapText="1"/>
    </xf>
    <xf numFmtId="0" fontId="38" fillId="16" borderId="0" xfId="34" applyFont="1" applyFill="1" applyBorder="1" applyAlignment="1">
      <alignment horizontal="left" vertical="center" wrapText="1"/>
    </xf>
    <xf numFmtId="0" fontId="38" fillId="16" borderId="190" xfId="34" applyFont="1" applyFill="1" applyBorder="1" applyAlignment="1">
      <alignment horizontal="left" vertical="center" wrapText="1"/>
    </xf>
    <xf numFmtId="0" fontId="38" fillId="16" borderId="329" xfId="34" applyFont="1" applyFill="1" applyBorder="1" applyAlignment="1">
      <alignment horizontal="left" vertical="center" wrapText="1"/>
    </xf>
    <xf numFmtId="0" fontId="38" fillId="16" borderId="254" xfId="34" applyFont="1" applyFill="1" applyBorder="1" applyAlignment="1">
      <alignment horizontal="left" vertical="center" wrapText="1"/>
    </xf>
    <xf numFmtId="0" fontId="38" fillId="16" borderId="336" xfId="34" applyFont="1" applyFill="1" applyBorder="1" applyAlignment="1">
      <alignment horizontal="left" vertical="center" wrapText="1"/>
    </xf>
    <xf numFmtId="0" fontId="0" fillId="16" borderId="10" xfId="34" applyFont="1" applyFill="1" applyBorder="1" applyAlignment="1">
      <alignment horizontal="left" vertical="center" wrapText="1"/>
    </xf>
    <xf numFmtId="0" fontId="37" fillId="16" borderId="409" xfId="34" applyFont="1" applyFill="1" applyBorder="1" applyAlignment="1">
      <alignment horizontal="left" vertical="center"/>
    </xf>
    <xf numFmtId="0" fontId="37" fillId="16" borderId="410" xfId="34" applyFont="1" applyFill="1" applyBorder="1" applyAlignment="1">
      <alignment horizontal="left" vertical="center"/>
    </xf>
    <xf numFmtId="0" fontId="37" fillId="16" borderId="411" xfId="34" applyFont="1" applyFill="1" applyBorder="1" applyAlignment="1">
      <alignment horizontal="left" vertical="center"/>
    </xf>
    <xf numFmtId="0" fontId="0" fillId="67" borderId="286" xfId="0" applyFont="1" applyFill="1" applyBorder="1" applyAlignment="1">
      <alignment horizontal="center" vertical="center" wrapText="1"/>
    </xf>
    <xf numFmtId="0" fontId="0" fillId="67" borderId="297" xfId="0" applyFont="1" applyFill="1" applyBorder="1" applyAlignment="1">
      <alignment horizontal="center" vertical="center" wrapText="1"/>
    </xf>
    <xf numFmtId="0" fontId="0" fillId="67" borderId="298" xfId="0" applyFont="1" applyFill="1" applyBorder="1" applyAlignment="1">
      <alignment horizontal="center" vertical="center" wrapText="1"/>
    </xf>
    <xf numFmtId="0" fontId="0" fillId="67" borderId="363" xfId="0" applyFont="1" applyFill="1" applyBorder="1" applyAlignment="1">
      <alignment horizontal="center" vertical="center" wrapText="1"/>
    </xf>
    <xf numFmtId="0" fontId="0" fillId="67" borderId="94" xfId="0" applyFont="1" applyFill="1" applyBorder="1" applyAlignment="1">
      <alignment horizontal="center" vertical="center" wrapText="1"/>
    </xf>
    <xf numFmtId="0" fontId="0" fillId="67" borderId="91" xfId="0" applyFont="1" applyFill="1" applyBorder="1" applyAlignment="1">
      <alignment horizontal="center" vertical="center" wrapText="1"/>
    </xf>
    <xf numFmtId="0" fontId="0" fillId="67" borderId="90" xfId="0" applyFont="1" applyFill="1" applyBorder="1" applyAlignment="1">
      <alignment horizontal="center" vertical="center" wrapText="1"/>
    </xf>
    <xf numFmtId="0" fontId="47" fillId="84" borderId="25" xfId="0" applyFont="1" applyFill="1" applyBorder="1" applyAlignment="1">
      <alignment horizontal="center" vertical="center"/>
    </xf>
    <xf numFmtId="0" fontId="47" fillId="84" borderId="26" xfId="0" applyFont="1" applyFill="1" applyBorder="1" applyAlignment="1">
      <alignment horizontal="center" vertical="center"/>
    </xf>
    <xf numFmtId="0" fontId="47" fillId="29" borderId="24" xfId="0" applyFont="1" applyFill="1" applyBorder="1" applyAlignment="1">
      <alignment horizontal="center" vertical="center"/>
    </xf>
    <xf numFmtId="0" fontId="47" fillId="29" borderId="25" xfId="0" applyFont="1" applyFill="1" applyBorder="1" applyAlignment="1">
      <alignment horizontal="center" vertical="center"/>
    </xf>
    <xf numFmtId="0" fontId="47" fillId="29" borderId="26" xfId="0" applyFont="1" applyFill="1" applyBorder="1" applyAlignment="1">
      <alignment horizontal="center" vertical="center"/>
    </xf>
    <xf numFmtId="0" fontId="27" fillId="84" borderId="50" xfId="0" applyFont="1" applyFill="1" applyBorder="1" applyAlignment="1">
      <alignment horizontal="center" vertical="center" wrapText="1"/>
    </xf>
    <xf numFmtId="0" fontId="27" fillId="84" borderId="33" xfId="0" applyFont="1" applyFill="1" applyBorder="1" applyAlignment="1">
      <alignment horizontal="center" vertical="center" wrapText="1"/>
    </xf>
    <xf numFmtId="0" fontId="27" fillId="84" borderId="34" xfId="0" applyFont="1" applyFill="1" applyBorder="1" applyAlignment="1">
      <alignment horizontal="center" vertical="center" wrapText="1"/>
    </xf>
    <xf numFmtId="0" fontId="28" fillId="29" borderId="50" xfId="0" applyFont="1" applyFill="1" applyBorder="1" applyAlignment="1">
      <alignment horizontal="center" vertical="center" wrapText="1"/>
    </xf>
    <xf numFmtId="0" fontId="28" fillId="29" borderId="33" xfId="0" applyFont="1" applyFill="1" applyBorder="1" applyAlignment="1">
      <alignment horizontal="center" vertical="center" wrapText="1"/>
    </xf>
    <xf numFmtId="0" fontId="28" fillId="29" borderId="34" xfId="0" applyFont="1" applyFill="1" applyBorder="1" applyAlignment="1">
      <alignment horizontal="center" vertical="center" wrapText="1"/>
    </xf>
    <xf numFmtId="0" fontId="46" fillId="87" borderId="362" xfId="0" applyFont="1" applyFill="1" applyBorder="1" applyAlignment="1">
      <alignment horizontal="center" vertical="center" wrapText="1"/>
    </xf>
    <xf numFmtId="0" fontId="46" fillId="87" borderId="343" xfId="0" applyFont="1" applyFill="1" applyBorder="1" applyAlignment="1">
      <alignment horizontal="center" vertical="center" wrapText="1"/>
    </xf>
    <xf numFmtId="0" fontId="46" fillId="84" borderId="362" xfId="0" applyFont="1" applyFill="1" applyBorder="1" applyAlignment="1">
      <alignment horizontal="center" vertical="center" wrapText="1"/>
    </xf>
    <xf numFmtId="0" fontId="46" fillId="84" borderId="128" xfId="0" applyFont="1" applyFill="1" applyBorder="1" applyAlignment="1">
      <alignment horizontal="center" vertical="center" wrapText="1"/>
    </xf>
    <xf numFmtId="0" fontId="46" fillId="84" borderId="343" xfId="0" applyFont="1" applyFill="1" applyBorder="1" applyAlignment="1">
      <alignment horizontal="center" vertical="center" wrapText="1"/>
    </xf>
    <xf numFmtId="0" fontId="46" fillId="29" borderId="362" xfId="0" applyFont="1" applyFill="1" applyBorder="1" applyAlignment="1">
      <alignment horizontal="center" vertical="center" wrapText="1"/>
    </xf>
    <xf numFmtId="0" fontId="46" fillId="29" borderId="343" xfId="0" applyFont="1" applyFill="1" applyBorder="1" applyAlignment="1">
      <alignment horizontal="center" vertical="center" wrapText="1"/>
    </xf>
    <xf numFmtId="0" fontId="46" fillId="29" borderId="128" xfId="0" applyFont="1" applyFill="1" applyBorder="1" applyAlignment="1">
      <alignment horizontal="center" vertical="center" wrapText="1"/>
    </xf>
    <xf numFmtId="0" fontId="28" fillId="82" borderId="136" xfId="0" applyFont="1" applyFill="1" applyBorder="1" applyAlignment="1">
      <alignment horizontal="center" vertical="center"/>
    </xf>
    <xf numFmtId="0" fontId="28" fillId="82" borderId="290" xfId="0" applyFont="1" applyFill="1" applyBorder="1" applyAlignment="1">
      <alignment horizontal="center" vertical="center"/>
    </xf>
    <xf numFmtId="0" fontId="28" fillId="82" borderId="288" xfId="0" applyFont="1" applyFill="1" applyBorder="1" applyAlignment="1">
      <alignment horizontal="center" vertical="center"/>
    </xf>
    <xf numFmtId="0" fontId="28" fillId="82" borderId="221" xfId="0" applyFont="1" applyFill="1" applyBorder="1" applyAlignment="1">
      <alignment horizontal="center" vertical="center"/>
    </xf>
    <xf numFmtId="0" fontId="47" fillId="65" borderId="132" xfId="0" applyFont="1" applyFill="1" applyBorder="1" applyAlignment="1">
      <alignment horizontal="center" vertical="center"/>
    </xf>
    <xf numFmtId="0" fontId="47" fillId="65" borderId="130" xfId="0" applyFont="1" applyFill="1" applyBorder="1" applyAlignment="1">
      <alignment horizontal="center" vertical="center"/>
    </xf>
    <xf numFmtId="0" fontId="47" fillId="65" borderId="133" xfId="0" applyFont="1" applyFill="1" applyBorder="1" applyAlignment="1">
      <alignment horizontal="center" vertical="center"/>
    </xf>
    <xf numFmtId="0" fontId="27" fillId="9" borderId="132" xfId="0" applyFont="1" applyFill="1" applyBorder="1" applyAlignment="1">
      <alignment horizontal="center" vertical="center" wrapText="1"/>
    </xf>
    <xf numFmtId="0" fontId="27" fillId="9" borderId="133" xfId="0" applyFont="1" applyFill="1" applyBorder="1" applyAlignment="1">
      <alignment horizontal="center" vertical="center" wrapText="1"/>
    </xf>
    <xf numFmtId="0" fontId="27" fillId="9" borderId="150" xfId="0" applyFont="1" applyFill="1" applyBorder="1" applyAlignment="1">
      <alignment horizontal="center" vertical="center" wrapText="1"/>
    </xf>
    <xf numFmtId="0" fontId="27" fillId="9" borderId="151" xfId="0" applyFont="1" applyFill="1" applyBorder="1" applyAlignment="1">
      <alignment horizontal="center" vertical="center" wrapText="1"/>
    </xf>
    <xf numFmtId="0" fontId="0" fillId="67" borderId="35" xfId="0" applyFont="1" applyFill="1" applyBorder="1" applyAlignment="1">
      <alignment horizontal="center" vertical="center" wrapText="1"/>
    </xf>
    <xf numFmtId="0" fontId="0" fillId="67" borderId="37" xfId="0" applyFont="1" applyFill="1" applyBorder="1" applyAlignment="1">
      <alignment horizontal="center" vertical="center" wrapText="1"/>
    </xf>
    <xf numFmtId="0" fontId="0" fillId="67" borderId="38" xfId="0" applyFont="1" applyFill="1" applyBorder="1" applyAlignment="1">
      <alignment horizontal="center" vertical="center" wrapText="1"/>
    </xf>
    <xf numFmtId="0" fontId="39" fillId="74" borderId="224" xfId="0" applyFont="1" applyFill="1" applyBorder="1" applyAlignment="1">
      <alignment horizontal="center" vertical="center"/>
    </xf>
    <xf numFmtId="0" fontId="39" fillId="74" borderId="332" xfId="0" applyFont="1" applyFill="1" applyBorder="1" applyAlignment="1">
      <alignment horizontal="center" vertical="center"/>
    </xf>
    <xf numFmtId="0" fontId="39" fillId="74" borderId="359" xfId="0" applyFont="1" applyFill="1" applyBorder="1" applyAlignment="1">
      <alignment horizontal="center" vertical="center"/>
    </xf>
    <xf numFmtId="0" fontId="46" fillId="70" borderId="319" xfId="0" applyFont="1" applyFill="1" applyBorder="1" applyAlignment="1">
      <alignment horizontal="left" vertical="center" wrapText="1"/>
    </xf>
    <xf numFmtId="0" fontId="46" fillId="70" borderId="330" xfId="0" applyFont="1" applyFill="1" applyBorder="1" applyAlignment="1">
      <alignment horizontal="left" vertical="center" wrapText="1"/>
    </xf>
    <xf numFmtId="0" fontId="47" fillId="74" borderId="350" xfId="0" applyFont="1" applyFill="1" applyBorder="1" applyAlignment="1">
      <alignment horizontal="center" vertical="center" wrapText="1"/>
    </xf>
    <xf numFmtId="0" fontId="47" fillId="74" borderId="341" xfId="0" applyFont="1" applyFill="1" applyBorder="1" applyAlignment="1">
      <alignment horizontal="center" vertical="center" wrapText="1"/>
    </xf>
    <xf numFmtId="0" fontId="47" fillId="74" borderId="355" xfId="0" applyFont="1" applyFill="1" applyBorder="1" applyAlignment="1">
      <alignment horizontal="center" vertical="center" wrapText="1"/>
    </xf>
    <xf numFmtId="0" fontId="47" fillId="74" borderId="356" xfId="0" applyFont="1" applyFill="1" applyBorder="1" applyAlignment="1">
      <alignment horizontal="center" vertical="center" wrapText="1"/>
    </xf>
    <xf numFmtId="0" fontId="39" fillId="9" borderId="326" xfId="0" applyFont="1" applyFill="1" applyBorder="1" applyAlignment="1">
      <alignment horizontal="center" vertical="center" wrapText="1" shrinkToFit="1"/>
    </xf>
    <xf numFmtId="0" fontId="39" fillId="9" borderId="229" xfId="0" applyFont="1" applyFill="1" applyBorder="1" applyAlignment="1">
      <alignment horizontal="center" vertical="center" wrapText="1" shrinkToFit="1"/>
    </xf>
    <xf numFmtId="0" fontId="46" fillId="87" borderId="326" xfId="0" applyFont="1" applyFill="1" applyBorder="1" applyAlignment="1">
      <alignment horizontal="center" vertical="center" wrapText="1"/>
    </xf>
    <xf numFmtId="0" fontId="46" fillId="87" borderId="229" xfId="0" applyFont="1" applyFill="1" applyBorder="1" applyAlignment="1">
      <alignment horizontal="center" vertical="center" wrapText="1"/>
    </xf>
    <xf numFmtId="0" fontId="46" fillId="84" borderId="326" xfId="0" applyFont="1" applyFill="1" applyBorder="1" applyAlignment="1">
      <alignment horizontal="center" vertical="center" wrapText="1"/>
    </xf>
    <xf numFmtId="0" fontId="46" fillId="84" borderId="327" xfId="0" applyFont="1" applyFill="1" applyBorder="1" applyAlignment="1">
      <alignment horizontal="center" vertical="center" wrapText="1"/>
    </xf>
    <xf numFmtId="0" fontId="46" fillId="84" borderId="229" xfId="0" applyFont="1" applyFill="1" applyBorder="1" applyAlignment="1">
      <alignment horizontal="center" vertical="center" wrapText="1"/>
    </xf>
    <xf numFmtId="0" fontId="46" fillId="29" borderId="326" xfId="0" applyFont="1" applyFill="1" applyBorder="1" applyAlignment="1">
      <alignment horizontal="center" vertical="center" wrapText="1"/>
    </xf>
    <xf numFmtId="0" fontId="46" fillId="29" borderId="229" xfId="0" applyFont="1" applyFill="1" applyBorder="1" applyAlignment="1">
      <alignment horizontal="center" vertical="center" wrapText="1"/>
    </xf>
    <xf numFmtId="0" fontId="46" fillId="29" borderId="327" xfId="0" applyFont="1" applyFill="1" applyBorder="1" applyAlignment="1">
      <alignment horizontal="center" vertical="center" wrapText="1"/>
    </xf>
    <xf numFmtId="0" fontId="28" fillId="24" borderId="25" xfId="0" applyFont="1" applyFill="1" applyBorder="1" applyAlignment="1">
      <alignment horizontal="center" vertical="center" wrapText="1"/>
    </xf>
    <xf numFmtId="0" fontId="28" fillId="24" borderId="80" xfId="0" applyFont="1" applyFill="1" applyBorder="1" applyAlignment="1">
      <alignment horizontal="center" vertical="center" wrapText="1"/>
    </xf>
    <xf numFmtId="0" fontId="28" fillId="24" borderId="36" xfId="0" applyFont="1" applyFill="1" applyBorder="1" applyAlignment="1">
      <alignment horizontal="center" vertical="center" wrapText="1"/>
    </xf>
    <xf numFmtId="0" fontId="28" fillId="24" borderId="26" xfId="0" applyFont="1" applyFill="1" applyBorder="1" applyAlignment="1">
      <alignment horizontal="center" vertical="center" wrapText="1"/>
    </xf>
    <xf numFmtId="0" fontId="47" fillId="85" borderId="129" xfId="0" applyFont="1" applyFill="1" applyBorder="1" applyAlignment="1">
      <alignment horizontal="center" vertical="center" wrapText="1"/>
    </xf>
    <xf numFmtId="0" fontId="47" fillId="85" borderId="396" xfId="0" applyFont="1" applyFill="1" applyBorder="1" applyAlignment="1">
      <alignment horizontal="center" vertical="center" wrapText="1"/>
    </xf>
    <xf numFmtId="0" fontId="47" fillId="85" borderId="138" xfId="0" applyFont="1" applyFill="1" applyBorder="1" applyAlignment="1">
      <alignment horizontal="center" vertical="center" wrapText="1"/>
    </xf>
    <xf numFmtId="0" fontId="47" fillId="85" borderId="158" xfId="0" applyFont="1" applyFill="1" applyBorder="1" applyAlignment="1">
      <alignment horizontal="center" vertical="center" wrapText="1"/>
    </xf>
    <xf numFmtId="0" fontId="47" fillId="85" borderId="159" xfId="0" applyFont="1" applyFill="1" applyBorder="1" applyAlignment="1">
      <alignment horizontal="center" vertical="center" wrapText="1"/>
    </xf>
    <xf numFmtId="0" fontId="47" fillId="85" borderId="160" xfId="0" applyFont="1" applyFill="1" applyBorder="1" applyAlignment="1">
      <alignment horizontal="center" vertical="center" wrapText="1"/>
    </xf>
    <xf numFmtId="0" fontId="47" fillId="85" borderId="158" xfId="0" applyFont="1" applyFill="1" applyBorder="1" applyAlignment="1">
      <alignment vertical="center" shrinkToFit="1"/>
    </xf>
    <xf numFmtId="0" fontId="47" fillId="85" borderId="159" xfId="0" applyFont="1" applyFill="1" applyBorder="1" applyAlignment="1">
      <alignment vertical="center" shrinkToFit="1"/>
    </xf>
    <xf numFmtId="0" fontId="47" fillId="85" borderId="160" xfId="0" applyFont="1" applyFill="1" applyBorder="1" applyAlignment="1">
      <alignment vertical="center" shrinkToFit="1"/>
    </xf>
    <xf numFmtId="0" fontId="28" fillId="82" borderId="351" xfId="0" applyFont="1" applyFill="1" applyBorder="1" applyAlignment="1">
      <alignment horizontal="center" vertical="center"/>
    </xf>
    <xf numFmtId="0" fontId="28" fillId="82" borderId="85" xfId="0" applyFont="1" applyFill="1" applyBorder="1" applyAlignment="1">
      <alignment horizontal="center" vertical="center"/>
    </xf>
    <xf numFmtId="0" fontId="28" fillId="82" borderId="41" xfId="0" applyFont="1" applyFill="1" applyBorder="1" applyAlignment="1">
      <alignment horizontal="center" vertical="center"/>
    </xf>
    <xf numFmtId="0" fontId="28" fillId="82" borderId="352" xfId="0" applyFont="1" applyFill="1" applyBorder="1" applyAlignment="1">
      <alignment horizontal="center" vertical="center"/>
    </xf>
    <xf numFmtId="0" fontId="39" fillId="82" borderId="346" xfId="0" applyFont="1" applyFill="1" applyBorder="1" applyAlignment="1">
      <alignment horizontal="center" vertical="center"/>
    </xf>
    <xf numFmtId="0" fontId="39" fillId="82" borderId="254" xfId="0" applyFont="1" applyFill="1" applyBorder="1" applyAlignment="1">
      <alignment horizontal="center" vertical="center"/>
    </xf>
    <xf numFmtId="0" fontId="39" fillId="82" borderId="344" xfId="0" applyFont="1" applyFill="1" applyBorder="1" applyAlignment="1">
      <alignment horizontal="center" vertical="center"/>
    </xf>
    <xf numFmtId="0" fontId="47" fillId="74" borderId="335" xfId="0" applyFont="1" applyFill="1" applyBorder="1" applyAlignment="1">
      <alignment horizontal="center" vertical="center" wrapText="1"/>
    </xf>
    <xf numFmtId="0" fontId="47" fillId="74" borderId="350" xfId="0" applyFont="1" applyFill="1" applyBorder="1" applyAlignment="1">
      <alignment horizontal="center" vertical="center" shrinkToFit="1"/>
    </xf>
    <xf numFmtId="0" fontId="47" fillId="74" borderId="341" xfId="0" applyFont="1" applyFill="1" applyBorder="1" applyAlignment="1">
      <alignment horizontal="center" vertical="center" shrinkToFit="1"/>
    </xf>
    <xf numFmtId="0" fontId="47" fillId="74" borderId="335" xfId="0" applyFont="1" applyFill="1" applyBorder="1" applyAlignment="1">
      <alignment horizontal="center" vertical="center" shrinkToFit="1"/>
    </xf>
    <xf numFmtId="0" fontId="37" fillId="9" borderId="132" xfId="0" applyFont="1" applyFill="1" applyBorder="1" applyAlignment="1">
      <alignment horizontal="center" vertical="center" wrapText="1"/>
    </xf>
    <xf numFmtId="0" fontId="37" fillId="9" borderId="130" xfId="0" applyFont="1" applyFill="1" applyBorder="1" applyAlignment="1">
      <alignment horizontal="center" vertical="center" wrapText="1"/>
    </xf>
    <xf numFmtId="0" fontId="37" fillId="9" borderId="351" xfId="0" applyFont="1" applyFill="1" applyBorder="1" applyAlignment="1">
      <alignment horizontal="center" vertical="center" wrapText="1"/>
    </xf>
    <xf numFmtId="0" fontId="37" fillId="9" borderId="23" xfId="0" applyFont="1" applyFill="1" applyBorder="1" applyAlignment="1">
      <alignment horizontal="center" vertical="center" wrapText="1"/>
    </xf>
    <xf numFmtId="0" fontId="46" fillId="61" borderId="394" xfId="106" applyFont="1" applyFill="1" applyBorder="1" applyAlignment="1">
      <alignment horizontal="left" vertical="center" wrapText="1" indent="1"/>
    </xf>
    <xf numFmtId="0" fontId="46" fillId="61" borderId="142" xfId="106" applyFont="1" applyFill="1" applyBorder="1" applyAlignment="1">
      <alignment horizontal="left" vertical="center" wrapText="1" indent="1"/>
    </xf>
    <xf numFmtId="0" fontId="46" fillId="61" borderId="337" xfId="106" applyFont="1" applyFill="1" applyBorder="1" applyAlignment="1">
      <alignment horizontal="left" vertical="center" wrapText="1" indent="1"/>
    </xf>
    <xf numFmtId="0" fontId="52" fillId="19" borderId="50" xfId="0" applyFont="1" applyFill="1" applyBorder="1" applyAlignment="1">
      <alignment horizontal="left" vertical="center" wrapText="1" indent="1"/>
    </xf>
    <xf numFmtId="0" fontId="52" fillId="19" borderId="34" xfId="0" applyFont="1" applyFill="1" applyBorder="1" applyAlignment="1">
      <alignment horizontal="left" vertical="center" wrapText="1" indent="1"/>
    </xf>
    <xf numFmtId="0" fontId="52" fillId="19" borderId="362" xfId="0" applyFont="1" applyFill="1" applyBorder="1" applyAlignment="1">
      <alignment horizontal="left" vertical="center" wrapText="1" indent="1"/>
    </xf>
    <xf numFmtId="0" fontId="52" fillId="19" borderId="343" xfId="0" applyFont="1" applyFill="1" applyBorder="1" applyAlignment="1">
      <alignment horizontal="left" vertical="center" wrapText="1" indent="1"/>
    </xf>
    <xf numFmtId="0" fontId="52" fillId="19" borderId="50" xfId="0" applyFont="1" applyFill="1" applyBorder="1" applyAlignment="1">
      <alignment horizontal="center" vertical="center" wrapText="1"/>
    </xf>
    <xf numFmtId="0" fontId="52" fillId="19" borderId="33" xfId="0" applyFont="1" applyFill="1" applyBorder="1" applyAlignment="1">
      <alignment horizontal="center" vertical="center" wrapText="1"/>
    </xf>
    <xf numFmtId="0" fontId="52" fillId="19" borderId="34" xfId="0" applyFont="1" applyFill="1" applyBorder="1" applyAlignment="1">
      <alignment horizontal="center" vertical="center" wrapText="1"/>
    </xf>
    <xf numFmtId="0" fontId="28" fillId="9" borderId="50" xfId="0" applyFont="1" applyFill="1" applyBorder="1" applyAlignment="1">
      <alignment horizontal="center" vertical="center" wrapText="1"/>
    </xf>
    <xf numFmtId="0" fontId="28" fillId="9" borderId="34" xfId="0" applyFont="1" applyFill="1" applyBorder="1" applyAlignment="1">
      <alignment horizontal="center" vertical="center" wrapText="1"/>
    </xf>
    <xf numFmtId="0" fontId="28" fillId="9" borderId="41" xfId="0" applyFont="1" applyFill="1" applyBorder="1" applyAlignment="1">
      <alignment horizontal="center" vertical="center" wrapText="1"/>
    </xf>
    <xf numFmtId="0" fontId="28" fillId="9" borderId="67" xfId="0" applyFont="1" applyFill="1" applyBorder="1" applyAlignment="1">
      <alignment horizontal="center" vertical="center" wrapText="1"/>
    </xf>
    <xf numFmtId="0" fontId="47" fillId="34" borderId="24" xfId="0" applyFont="1" applyFill="1" applyBorder="1" applyAlignment="1">
      <alignment horizontal="center" vertical="center"/>
    </xf>
    <xf numFmtId="0" fontId="47" fillId="34" borderId="25" xfId="0" applyFont="1" applyFill="1" applyBorder="1" applyAlignment="1">
      <alignment horizontal="center" vertical="center"/>
    </xf>
    <xf numFmtId="0" fontId="47" fillId="34" borderId="26" xfId="0" applyFont="1" applyFill="1" applyBorder="1" applyAlignment="1">
      <alignment horizontal="center" vertical="center"/>
    </xf>
    <xf numFmtId="0" fontId="46" fillId="19" borderId="41" xfId="0" applyFont="1" applyFill="1" applyBorder="1" applyAlignment="1">
      <alignment horizontal="center" vertical="center" wrapText="1"/>
    </xf>
    <xf numFmtId="0" fontId="46" fillId="19" borderId="23" xfId="0" applyFont="1" applyFill="1" applyBorder="1" applyAlignment="1">
      <alignment horizontal="center" vertical="center" wrapText="1"/>
    </xf>
    <xf numFmtId="0" fontId="46" fillId="19" borderId="67" xfId="0" applyFont="1" applyFill="1" applyBorder="1" applyAlignment="1">
      <alignment horizontal="center" vertical="center" wrapText="1"/>
    </xf>
    <xf numFmtId="0" fontId="27" fillId="84" borderId="24" xfId="0" applyFont="1" applyFill="1" applyBorder="1" applyAlignment="1">
      <alignment horizontal="center" vertical="center" wrapText="1"/>
    </xf>
    <xf numFmtId="0" fontId="27" fillId="84" borderId="25" xfId="0" applyFont="1" applyFill="1" applyBorder="1" applyAlignment="1">
      <alignment horizontal="center" vertical="center" wrapText="1"/>
    </xf>
    <xf numFmtId="0" fontId="27" fillId="84" borderId="26"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5" xfId="0" applyFont="1" applyFill="1" applyBorder="1" applyAlignment="1">
      <alignment horizontal="center" vertical="center" wrapText="1"/>
    </xf>
    <xf numFmtId="0" fontId="28" fillId="29" borderId="26" xfId="0" applyFont="1" applyFill="1" applyBorder="1" applyAlignment="1">
      <alignment horizontal="center" vertical="center" wrapText="1"/>
    </xf>
    <xf numFmtId="0" fontId="52" fillId="86" borderId="348" xfId="0" applyFont="1" applyFill="1" applyBorder="1" applyAlignment="1">
      <alignment horizontal="center" vertical="center"/>
    </xf>
    <xf numFmtId="0" fontId="52" fillId="86" borderId="130" xfId="0" applyFont="1" applyFill="1" applyBorder="1" applyAlignment="1">
      <alignment horizontal="center" vertical="center"/>
    </xf>
    <xf numFmtId="0" fontId="52" fillId="86" borderId="133" xfId="0" applyFont="1" applyFill="1" applyBorder="1" applyAlignment="1">
      <alignment horizontal="center" vertical="center"/>
    </xf>
    <xf numFmtId="0" fontId="46" fillId="61" borderId="158" xfId="0" applyFont="1" applyFill="1" applyBorder="1" applyAlignment="1">
      <alignment horizontal="left" vertical="center" wrapText="1"/>
    </xf>
    <xf numFmtId="0" fontId="46" fillId="61" borderId="319" xfId="0" applyFont="1" applyFill="1" applyBorder="1" applyAlignment="1">
      <alignment horizontal="left" vertical="center" wrapText="1"/>
    </xf>
    <xf numFmtId="0" fontId="47" fillId="85" borderId="357" xfId="0" applyFont="1" applyFill="1" applyBorder="1" applyAlignment="1">
      <alignment horizontal="center" vertical="center" wrapText="1"/>
    </xf>
    <xf numFmtId="0" fontId="39" fillId="74" borderId="333" xfId="0" applyFont="1" applyFill="1" applyBorder="1" applyAlignment="1">
      <alignment horizontal="center" vertical="center"/>
    </xf>
    <xf numFmtId="0" fontId="39" fillId="74" borderId="334" xfId="0" applyFont="1" applyFill="1" applyBorder="1" applyAlignment="1">
      <alignment horizontal="center" vertical="center"/>
    </xf>
    <xf numFmtId="0" fontId="39" fillId="85" borderId="237" xfId="0" applyFont="1" applyFill="1" applyBorder="1" applyAlignment="1">
      <alignment horizontal="center" vertical="center" wrapText="1"/>
    </xf>
    <xf numFmtId="0" fontId="39" fillId="85" borderId="238" xfId="0" applyFont="1" applyFill="1" applyBorder="1" applyAlignment="1">
      <alignment horizontal="center" vertical="center" wrapText="1"/>
    </xf>
    <xf numFmtId="0" fontId="39" fillId="85" borderId="241" xfId="0" applyFont="1" applyFill="1" applyBorder="1" applyAlignment="1">
      <alignment horizontal="center" vertical="center" wrapText="1"/>
    </xf>
    <xf numFmtId="0" fontId="39" fillId="85" borderId="231" xfId="0" applyFont="1" applyFill="1" applyBorder="1" applyAlignment="1">
      <alignment horizontal="center" vertical="center" wrapText="1"/>
    </xf>
    <xf numFmtId="0" fontId="39" fillId="85" borderId="161" xfId="0" applyFont="1" applyFill="1" applyBorder="1" applyAlignment="1">
      <alignment horizontal="center" vertical="center" wrapText="1"/>
    </xf>
    <xf numFmtId="0" fontId="39" fillId="85" borderId="232" xfId="0" applyFont="1" applyFill="1" applyBorder="1" applyAlignment="1">
      <alignment horizontal="center" vertical="center" wrapText="1"/>
    </xf>
    <xf numFmtId="0" fontId="47" fillId="74" borderId="356" xfId="0" applyFont="1" applyFill="1" applyBorder="1" applyAlignment="1">
      <alignment horizontal="center" vertical="center" shrinkToFit="1"/>
    </xf>
    <xf numFmtId="0" fontId="47" fillId="74" borderId="355" xfId="0" applyFont="1" applyFill="1" applyBorder="1" applyAlignment="1">
      <alignment horizontal="center" vertical="center" shrinkToFit="1"/>
    </xf>
    <xf numFmtId="0" fontId="39" fillId="82" borderId="350" xfId="0" applyFont="1" applyFill="1" applyBorder="1" applyAlignment="1">
      <alignment horizontal="center" vertical="center"/>
    </xf>
    <xf numFmtId="0" fontId="39" fillId="82" borderId="341" xfId="0" applyFont="1" applyFill="1" applyBorder="1" applyAlignment="1">
      <alignment horizontal="center" vertical="center"/>
    </xf>
    <xf numFmtId="0" fontId="39" fillId="82" borderId="335" xfId="0" applyFont="1" applyFill="1" applyBorder="1" applyAlignment="1">
      <alignment horizontal="center" vertical="center"/>
    </xf>
    <xf numFmtId="0" fontId="46" fillId="70" borderId="142" xfId="106" applyFont="1" applyFill="1" applyBorder="1" applyAlignment="1">
      <alignment horizontal="left" vertical="center" wrapText="1" indent="1"/>
    </xf>
    <xf numFmtId="0" fontId="129" fillId="70" borderId="142" xfId="106" applyFont="1" applyFill="1" applyBorder="1" applyAlignment="1">
      <alignment horizontal="left" vertical="center" wrapText="1" indent="1"/>
    </xf>
    <xf numFmtId="0" fontId="129" fillId="70" borderId="240" xfId="106" applyFont="1" applyFill="1" applyBorder="1" applyAlignment="1">
      <alignment horizontal="left" vertical="center" wrapText="1" indent="1"/>
    </xf>
    <xf numFmtId="0" fontId="46" fillId="70" borderId="131" xfId="106" applyFont="1" applyFill="1" applyBorder="1" applyAlignment="1">
      <alignment horizontal="left" vertical="center" wrapText="1" indent="1"/>
    </xf>
    <xf numFmtId="0" fontId="46" fillId="70" borderId="240" xfId="106" applyFont="1" applyFill="1" applyBorder="1" applyAlignment="1">
      <alignment horizontal="left" vertical="center" wrapText="1" indent="1"/>
    </xf>
    <xf numFmtId="0" fontId="46" fillId="70" borderId="337" xfId="106" applyFont="1" applyFill="1" applyBorder="1" applyAlignment="1">
      <alignment horizontal="left" vertical="center" wrapText="1" indent="1"/>
    </xf>
    <xf numFmtId="0" fontId="39" fillId="28" borderId="10" xfId="0" applyFont="1" applyFill="1" applyBorder="1" applyAlignment="1">
      <alignment horizontal="center" vertical="center" shrinkToFit="1"/>
    </xf>
    <xf numFmtId="167" fontId="37" fillId="28" borderId="10" xfId="0" applyNumberFormat="1" applyFont="1" applyFill="1" applyBorder="1" applyAlignment="1">
      <alignment horizontal="center" vertical="center" shrinkToFit="1"/>
    </xf>
    <xf numFmtId="0" fontId="38" fillId="28" borderId="15" xfId="0" applyFont="1" applyFill="1" applyBorder="1" applyAlignment="1">
      <alignment horizontal="left" vertical="center" wrapText="1" indent="1"/>
    </xf>
    <xf numFmtId="4" fontId="56" fillId="10" borderId="10" xfId="0" applyNumberFormat="1" applyFont="1" applyFill="1" applyBorder="1" applyAlignment="1" applyProtection="1">
      <alignment horizontal="center" vertical="center" shrinkToFit="1"/>
      <protection locked="0"/>
    </xf>
    <xf numFmtId="0" fontId="46" fillId="29" borderId="50" xfId="0" applyFont="1" applyFill="1" applyBorder="1" applyAlignment="1">
      <alignment horizontal="center" vertical="center" wrapText="1"/>
    </xf>
    <xf numFmtId="0" fontId="46" fillId="29" borderId="34" xfId="0" applyFont="1" applyFill="1" applyBorder="1" applyAlignment="1">
      <alignment horizontal="center" vertical="center" wrapText="1"/>
    </xf>
    <xf numFmtId="0" fontId="46" fillId="29" borderId="33" xfId="0" applyFont="1" applyFill="1" applyBorder="1" applyAlignment="1">
      <alignment horizontal="center" vertical="center" wrapText="1"/>
    </xf>
    <xf numFmtId="0" fontId="75" fillId="14" borderId="184" xfId="0" applyFont="1" applyFill="1" applyBorder="1" applyAlignment="1">
      <alignment horizontal="center" vertical="center" wrapText="1"/>
    </xf>
    <xf numFmtId="0" fontId="75" fillId="14" borderId="192" xfId="0" applyFont="1" applyFill="1" applyBorder="1" applyAlignment="1">
      <alignment horizontal="center" vertical="center" wrapText="1"/>
    </xf>
    <xf numFmtId="0" fontId="75" fillId="14" borderId="186" xfId="0" applyFont="1" applyFill="1" applyBorder="1" applyAlignment="1">
      <alignment horizontal="center" vertical="center" wrapText="1"/>
    </xf>
    <xf numFmtId="0" fontId="75" fillId="14" borderId="170" xfId="0" applyFont="1" applyFill="1" applyBorder="1" applyAlignment="1">
      <alignment horizontal="center" vertical="center" wrapText="1"/>
    </xf>
    <xf numFmtId="0" fontId="75" fillId="14" borderId="0" xfId="0" applyFont="1" applyFill="1" applyBorder="1" applyAlignment="1">
      <alignment horizontal="center" vertical="center" wrapText="1"/>
    </xf>
    <xf numFmtId="0" fontId="75" fillId="14" borderId="248"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11" fillId="14" borderId="10" xfId="0" applyFont="1" applyFill="1" applyBorder="1" applyAlignment="1">
      <alignment horizontal="center" vertical="top" wrapText="1" shrinkToFit="1"/>
    </xf>
    <xf numFmtId="0" fontId="75" fillId="14" borderId="10" xfId="0" applyFont="1" applyFill="1" applyBorder="1" applyAlignment="1">
      <alignment horizontal="center" vertical="center" wrapText="1"/>
    </xf>
    <xf numFmtId="0" fontId="112" fillId="13" borderId="10" xfId="0" applyFont="1" applyFill="1" applyBorder="1" applyAlignment="1">
      <alignment horizontal="left" vertical="center" shrinkToFit="1"/>
    </xf>
    <xf numFmtId="0" fontId="0" fillId="14" borderId="0" xfId="0" applyFont="1" applyFill="1" applyBorder="1" applyAlignment="1">
      <alignment horizontal="center"/>
    </xf>
    <xf numFmtId="0" fontId="27" fillId="24" borderId="10" xfId="0" applyFont="1" applyFill="1" applyBorder="1" applyAlignment="1">
      <alignment horizontal="center" vertical="center" wrapText="1"/>
    </xf>
    <xf numFmtId="0" fontId="0" fillId="23" borderId="10" xfId="0" applyFont="1" applyFill="1" applyBorder="1" applyAlignment="1">
      <alignment horizontal="center" vertical="center" wrapText="1"/>
    </xf>
    <xf numFmtId="0" fontId="37" fillId="28" borderId="15" xfId="0" applyFont="1" applyFill="1" applyBorder="1" applyAlignment="1">
      <alignment horizontal="center" vertical="center" wrapText="1"/>
    </xf>
    <xf numFmtId="0" fontId="27" fillId="28" borderId="10" xfId="0" applyFont="1" applyFill="1" applyBorder="1" applyAlignment="1">
      <alignment horizontal="center" vertical="center"/>
    </xf>
    <xf numFmtId="0" fontId="28" fillId="29" borderId="10" xfId="0" applyFont="1" applyFill="1" applyBorder="1" applyAlignment="1">
      <alignment horizontal="center" vertical="center" wrapText="1"/>
    </xf>
    <xf numFmtId="0" fontId="23" fillId="37" borderId="10" xfId="0" applyFont="1" applyFill="1" applyBorder="1" applyAlignment="1">
      <alignment horizontal="center" vertical="center"/>
    </xf>
    <xf numFmtId="0" fontId="41" fillId="28" borderId="65" xfId="0" applyFont="1" applyFill="1" applyBorder="1" applyAlignment="1">
      <alignment horizontal="center" vertical="center"/>
    </xf>
    <xf numFmtId="0" fontId="15" fillId="35" borderId="10" xfId="0" applyFont="1" applyFill="1" applyBorder="1" applyAlignment="1">
      <alignment horizontal="center" vertical="center" wrapText="1"/>
    </xf>
    <xf numFmtId="0" fontId="0" fillId="28" borderId="65" xfId="0" applyFont="1" applyFill="1" applyBorder="1" applyAlignment="1">
      <alignment horizontal="left" vertical="center" indent="1"/>
    </xf>
    <xf numFmtId="0" fontId="0" fillId="28" borderId="15" xfId="0" applyFont="1" applyFill="1" applyBorder="1" applyAlignment="1">
      <alignment horizontal="left" vertical="center" wrapText="1" indent="1"/>
    </xf>
    <xf numFmtId="0" fontId="33" fillId="28" borderId="15" xfId="0" applyFont="1" applyFill="1" applyBorder="1" applyAlignment="1">
      <alignment horizontal="left" vertical="center" wrapText="1" indent="1"/>
    </xf>
    <xf numFmtId="0" fontId="27" fillId="28" borderId="10" xfId="0" applyFont="1" applyFill="1" applyBorder="1" applyAlignment="1">
      <alignment horizontal="left" vertical="center" indent="1"/>
    </xf>
    <xf numFmtId="3" fontId="27" fillId="28" borderId="10" xfId="0" applyNumberFormat="1" applyFont="1" applyFill="1" applyBorder="1" applyAlignment="1">
      <alignment horizontal="center" vertical="center" shrinkToFit="1"/>
    </xf>
    <xf numFmtId="0" fontId="0" fillId="28" borderId="64" xfId="0" applyFont="1" applyFill="1" applyBorder="1" applyAlignment="1">
      <alignment horizontal="left" vertical="center" wrapText="1" indent="1"/>
    </xf>
    <xf numFmtId="0" fontId="39" fillId="9" borderId="50" xfId="0" applyFont="1" applyFill="1" applyBorder="1" applyAlignment="1">
      <alignment horizontal="center" vertical="center" wrapText="1" shrinkToFit="1"/>
    </xf>
    <xf numFmtId="0" fontId="39" fillId="9" borderId="34" xfId="0" applyFont="1" applyFill="1" applyBorder="1" applyAlignment="1">
      <alignment horizontal="center" vertical="center" wrapText="1" shrinkToFit="1"/>
    </xf>
    <xf numFmtId="0" fontId="82" fillId="13" borderId="10" xfId="25" applyNumberFormat="1" applyFont="1" applyFill="1" applyBorder="1" applyAlignment="1" applyProtection="1">
      <alignment horizontal="center" vertical="center"/>
    </xf>
    <xf numFmtId="0" fontId="46" fillId="13" borderId="324" xfId="0" applyFont="1" applyFill="1" applyBorder="1" applyAlignment="1" applyProtection="1">
      <alignment horizontal="left" vertical="center" indent="1" shrinkToFit="1"/>
      <protection locked="0"/>
    </xf>
    <xf numFmtId="0" fontId="46" fillId="13" borderId="325" xfId="0" applyFont="1" applyFill="1" applyBorder="1" applyAlignment="1" applyProtection="1">
      <alignment horizontal="left" vertical="center" indent="1" shrinkToFit="1"/>
      <protection locked="0"/>
    </xf>
    <xf numFmtId="0" fontId="186" fillId="92" borderId="420" xfId="54" applyFont="1" applyFill="1" applyBorder="1" applyAlignment="1" applyProtection="1">
      <alignment horizontal="left" vertical="center" indent="1" shrinkToFit="1"/>
      <protection locked="0"/>
    </xf>
    <xf numFmtId="0" fontId="46" fillId="87" borderId="50" xfId="0" applyFont="1" applyFill="1" applyBorder="1" applyAlignment="1">
      <alignment horizontal="center" vertical="center" wrapText="1"/>
    </xf>
    <xf numFmtId="0" fontId="46" fillId="87" borderId="34" xfId="0" applyFont="1" applyFill="1" applyBorder="1" applyAlignment="1">
      <alignment horizontal="center" vertical="center" wrapText="1"/>
    </xf>
    <xf numFmtId="0" fontId="39" fillId="9" borderId="327" xfId="0" applyFont="1" applyFill="1" applyBorder="1" applyAlignment="1">
      <alignment horizontal="center" vertical="center" wrapText="1" shrinkToFit="1"/>
    </xf>
    <xf numFmtId="0" fontId="46" fillId="84" borderId="50" xfId="0" applyFont="1" applyFill="1" applyBorder="1" applyAlignment="1">
      <alignment horizontal="center" vertical="center" wrapText="1"/>
    </xf>
    <xf numFmtId="0" fontId="46" fillId="84" borderId="33" xfId="0" applyFont="1" applyFill="1" applyBorder="1" applyAlignment="1">
      <alignment horizontal="center" vertical="center" wrapText="1"/>
    </xf>
    <xf numFmtId="0" fontId="46" fillId="84" borderId="34" xfId="0" applyFont="1" applyFill="1" applyBorder="1" applyAlignment="1">
      <alignment horizontal="center" vertical="center" wrapText="1"/>
    </xf>
    <xf numFmtId="0" fontId="28" fillId="9" borderId="130" xfId="0" applyFont="1" applyFill="1" applyBorder="1" applyAlignment="1">
      <alignment horizontal="center" wrapText="1"/>
    </xf>
    <xf numFmtId="0" fontId="28" fillId="9" borderId="347" xfId="0" applyFont="1" applyFill="1" applyBorder="1" applyAlignment="1">
      <alignment horizontal="center" wrapText="1"/>
    </xf>
    <xf numFmtId="0" fontId="28" fillId="9" borderId="23" xfId="0" applyFont="1" applyFill="1" applyBorder="1" applyAlignment="1">
      <alignment horizontal="center" wrapText="1"/>
    </xf>
    <xf numFmtId="0" fontId="52" fillId="82" borderId="350" xfId="0" applyFont="1" applyFill="1" applyBorder="1" applyAlignment="1">
      <alignment horizontal="center" vertical="center"/>
    </xf>
    <xf numFmtId="0" fontId="52" fillId="82" borderId="341" xfId="0" applyFont="1" applyFill="1" applyBorder="1" applyAlignment="1">
      <alignment horizontal="center" vertical="center"/>
    </xf>
    <xf numFmtId="0" fontId="52" fillId="82" borderId="335" xfId="0" applyFont="1" applyFill="1" applyBorder="1" applyAlignment="1">
      <alignment horizontal="center" vertical="center"/>
    </xf>
    <xf numFmtId="0" fontId="52" fillId="84" borderId="348" xfId="0" applyFont="1" applyFill="1" applyBorder="1" applyAlignment="1">
      <alignment horizontal="center" vertical="center"/>
    </xf>
    <xf numFmtId="0" fontId="52" fillId="84" borderId="130" xfId="0" applyFont="1" applyFill="1" applyBorder="1" applyAlignment="1">
      <alignment horizontal="center" vertical="center"/>
    </xf>
    <xf numFmtId="0" fontId="52" fillId="84" borderId="341" xfId="0" applyFont="1" applyFill="1" applyBorder="1" applyAlignment="1">
      <alignment horizontal="center" vertical="center"/>
    </xf>
    <xf numFmtId="0" fontId="52" fillId="84" borderId="349" xfId="0" applyFont="1" applyFill="1" applyBorder="1" applyAlignment="1">
      <alignment horizontal="center" vertical="center"/>
    </xf>
    <xf numFmtId="0" fontId="151" fillId="33" borderId="265" xfId="0" applyFont="1" applyFill="1" applyBorder="1" applyAlignment="1">
      <alignment horizontal="left" vertical="center" indent="1"/>
    </xf>
    <xf numFmtId="0" fontId="151" fillId="33" borderId="263" xfId="0" applyFont="1" applyFill="1" applyBorder="1" applyAlignment="1">
      <alignment horizontal="left" vertical="center" indent="1"/>
    </xf>
    <xf numFmtId="0" fontId="151" fillId="33" borderId="16" xfId="0" applyFont="1" applyFill="1" applyBorder="1" applyAlignment="1">
      <alignment horizontal="left" vertical="center" indent="1"/>
    </xf>
    <xf numFmtId="0" fontId="151" fillId="33" borderId="15" xfId="0" applyFont="1" applyFill="1" applyBorder="1" applyAlignment="1">
      <alignment horizontal="left" vertical="center" indent="1"/>
    </xf>
    <xf numFmtId="0" fontId="75" fillId="14" borderId="170" xfId="0" applyFont="1" applyFill="1" applyBorder="1" applyAlignment="1">
      <alignment horizontal="center" vertical="top" wrapText="1"/>
    </xf>
    <xf numFmtId="0" fontId="75" fillId="14" borderId="0" xfId="0" applyFont="1" applyFill="1" applyBorder="1" applyAlignment="1">
      <alignment horizontal="center" vertical="top" wrapText="1"/>
    </xf>
    <xf numFmtId="0" fontId="52" fillId="19" borderId="43" xfId="0" applyFont="1" applyFill="1" applyBorder="1" applyAlignment="1">
      <alignment horizontal="center" vertical="center" wrapText="1"/>
    </xf>
    <xf numFmtId="0" fontId="52" fillId="19" borderId="51" xfId="0" applyFont="1" applyFill="1" applyBorder="1" applyAlignment="1">
      <alignment horizontal="center" vertical="center" wrapText="1"/>
    </xf>
    <xf numFmtId="0" fontId="63" fillId="13" borderId="10" xfId="25" applyNumberFormat="1" applyFont="1" applyFill="1" applyBorder="1" applyAlignment="1" applyProtection="1">
      <alignment horizontal="center" vertical="center"/>
    </xf>
    <xf numFmtId="0" fontId="64" fillId="14" borderId="72" xfId="0" applyFont="1" applyFill="1" applyBorder="1" applyAlignment="1" applyProtection="1">
      <alignment horizontal="center" vertical="center" wrapText="1"/>
    </xf>
    <xf numFmtId="0" fontId="55" fillId="24" borderId="52" xfId="0" applyFont="1" applyFill="1" applyBorder="1" applyAlignment="1" applyProtection="1">
      <alignment horizontal="left" vertical="center"/>
    </xf>
    <xf numFmtId="0" fontId="28" fillId="24" borderId="10" xfId="0" applyFont="1" applyFill="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wrapText="1"/>
      <protection hidden="1"/>
    </xf>
    <xf numFmtId="0" fontId="41" fillId="24" borderId="10" xfId="0" applyFont="1" applyFill="1" applyBorder="1" applyAlignment="1" applyProtection="1">
      <alignment horizontal="center" vertical="center"/>
      <protection hidden="1"/>
    </xf>
    <xf numFmtId="0" fontId="66" fillId="24" borderId="10" xfId="0" applyFont="1" applyFill="1" applyBorder="1" applyAlignment="1">
      <alignment horizontal="center" vertical="center" wrapText="1"/>
    </xf>
    <xf numFmtId="0" fontId="70" fillId="24" borderId="10" xfId="0" applyFont="1" applyFill="1" applyBorder="1" applyAlignment="1" applyProtection="1">
      <alignment horizontal="center" vertical="center" wrapText="1"/>
      <protection hidden="1"/>
    </xf>
    <xf numFmtId="0" fontId="41" fillId="24" borderId="10" xfId="0" applyFont="1" applyFill="1" applyBorder="1" applyAlignment="1" applyProtection="1">
      <alignment horizontal="center" vertical="center" wrapText="1"/>
      <protection hidden="1"/>
    </xf>
    <xf numFmtId="0" fontId="38" fillId="13" borderId="10" xfId="0" applyFont="1" applyFill="1" applyBorder="1" applyAlignment="1" applyProtection="1">
      <alignment horizontal="left" vertical="center" indent="1" shrinkToFit="1"/>
      <protection locked="0"/>
    </xf>
    <xf numFmtId="0" fontId="38" fillId="13" borderId="175" xfId="0" applyFont="1" applyFill="1" applyBorder="1" applyAlignment="1" applyProtection="1">
      <alignment horizontal="left" vertical="center" indent="1" shrinkToFit="1"/>
      <protection locked="0"/>
    </xf>
    <xf numFmtId="0" fontId="27" fillId="14" borderId="72" xfId="0" applyFont="1" applyFill="1" applyBorder="1" applyAlignment="1" applyProtection="1">
      <alignment horizontal="left" vertical="center" wrapText="1"/>
      <protection locked="0"/>
    </xf>
    <xf numFmtId="0" fontId="41" fillId="24" borderId="10"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xf>
    <xf numFmtId="0" fontId="41" fillId="24" borderId="10" xfId="0" applyFont="1" applyFill="1" applyBorder="1" applyAlignment="1" applyProtection="1">
      <alignment horizontal="center" vertical="center"/>
    </xf>
    <xf numFmtId="0" fontId="28" fillId="24" borderId="10" xfId="0" applyFont="1" applyFill="1" applyBorder="1" applyAlignment="1" applyProtection="1">
      <alignment horizontal="center" vertical="center"/>
    </xf>
    <xf numFmtId="0" fontId="33" fillId="10" borderId="10" xfId="0" applyFont="1" applyFill="1" applyBorder="1" applyAlignment="1" applyProtection="1">
      <alignment horizontal="center" vertical="center"/>
      <protection locked="0"/>
    </xf>
    <xf numFmtId="0" fontId="41" fillId="24" borderId="10" xfId="0" applyFont="1" applyFill="1" applyBorder="1" applyAlignment="1">
      <alignment horizontal="center" vertical="center"/>
    </xf>
    <xf numFmtId="166" fontId="33" fillId="16" borderId="10" xfId="0" applyNumberFormat="1" applyFont="1" applyFill="1" applyBorder="1" applyAlignment="1" applyProtection="1">
      <alignment horizontal="center" vertical="center"/>
      <protection hidden="1"/>
    </xf>
    <xf numFmtId="0" fontId="37" fillId="14" borderId="60" xfId="0" applyFont="1" applyFill="1" applyBorder="1" applyAlignment="1" applyProtection="1">
      <alignment horizontal="left" vertical="center" wrapText="1"/>
      <protection locked="0"/>
    </xf>
    <xf numFmtId="0" fontId="169" fillId="0" borderId="0" xfId="0" applyFont="1" applyAlignment="1">
      <alignment horizontal="left" vertical="center" wrapText="1"/>
    </xf>
    <xf numFmtId="166" fontId="41" fillId="38" borderId="10" xfId="0" applyNumberFormat="1" applyFont="1" applyFill="1" applyBorder="1" applyAlignment="1" applyProtection="1">
      <alignment horizontal="center" vertical="center"/>
    </xf>
    <xf numFmtId="0" fontId="76" fillId="23" borderId="10" xfId="0" applyFont="1" applyFill="1" applyBorder="1" applyAlignment="1">
      <alignment horizontal="center" vertical="center" wrapText="1"/>
    </xf>
    <xf numFmtId="0" fontId="41" fillId="13" borderId="10" xfId="0" applyFont="1" applyFill="1" applyBorder="1" applyAlignment="1" applyProtection="1">
      <alignment horizontal="center" vertical="center"/>
    </xf>
    <xf numFmtId="0" fontId="41" fillId="13" borderId="11" xfId="0" applyFont="1" applyFill="1" applyBorder="1" applyAlignment="1" applyProtection="1">
      <alignment horizontal="center" vertical="center" wrapText="1"/>
    </xf>
    <xf numFmtId="0" fontId="41" fillId="13" borderId="16" xfId="0" applyFont="1" applyFill="1" applyBorder="1" applyAlignment="1" applyProtection="1">
      <alignment horizontal="center" vertical="center" wrapText="1"/>
    </xf>
    <xf numFmtId="0" fontId="41" fillId="13" borderId="15" xfId="0" applyFont="1" applyFill="1" applyBorder="1" applyAlignment="1" applyProtection="1">
      <alignment horizontal="center" vertical="center" wrapText="1"/>
    </xf>
    <xf numFmtId="0" fontId="33" fillId="24" borderId="46" xfId="0" applyFont="1" applyFill="1" applyBorder="1" applyAlignment="1">
      <alignment horizontal="center" vertical="center" wrapText="1"/>
    </xf>
    <xf numFmtId="166" fontId="33" fillId="16" borderId="71" xfId="0" applyNumberFormat="1" applyFont="1" applyFill="1" applyBorder="1" applyAlignment="1" applyProtection="1">
      <alignment horizontal="center" vertical="center"/>
      <protection hidden="1"/>
    </xf>
    <xf numFmtId="0" fontId="37" fillId="24" borderId="10" xfId="0" applyFont="1" applyFill="1" applyBorder="1" applyAlignment="1" applyProtection="1">
      <alignment horizontal="center" vertical="center" wrapText="1"/>
    </xf>
    <xf numFmtId="167" fontId="9" fillId="9" borderId="40" xfId="0" applyNumberFormat="1" applyFont="1" applyFill="1" applyBorder="1" applyAlignment="1">
      <alignment horizontal="center"/>
    </xf>
    <xf numFmtId="0" fontId="37" fillId="24" borderId="11" xfId="0" applyFont="1" applyFill="1" applyBorder="1" applyAlignment="1">
      <alignment horizontal="left" vertical="center" wrapText="1"/>
    </xf>
    <xf numFmtId="0" fontId="9" fillId="24" borderId="40" xfId="0" applyFont="1" applyFill="1" applyBorder="1" applyAlignment="1">
      <alignment horizontal="center"/>
    </xf>
    <xf numFmtId="0" fontId="91" fillId="13" borderId="10" xfId="25" applyNumberFormat="1" applyFont="1" applyFill="1" applyBorder="1" applyAlignment="1" applyProtection="1">
      <alignment horizontal="center" vertical="center"/>
    </xf>
    <xf numFmtId="0" fontId="9" fillId="24" borderId="12" xfId="0" applyFont="1" applyFill="1" applyBorder="1" applyAlignment="1">
      <alignment horizontal="center" vertical="center" wrapText="1"/>
    </xf>
    <xf numFmtId="0" fontId="28" fillId="16" borderId="10" xfId="0" applyFont="1" applyFill="1" applyBorder="1" applyAlignment="1" applyProtection="1">
      <alignment horizontal="center" vertical="center" wrapText="1"/>
    </xf>
    <xf numFmtId="0" fontId="30" fillId="16" borderId="60" xfId="0" applyFont="1" applyFill="1" applyBorder="1" applyAlignment="1" applyProtection="1">
      <alignment horizontal="center" vertical="center" wrapText="1"/>
    </xf>
    <xf numFmtId="2" fontId="9" fillId="9" borderId="20" xfId="0" applyNumberFormat="1" applyFont="1" applyFill="1" applyBorder="1" applyAlignment="1">
      <alignment horizontal="center"/>
    </xf>
    <xf numFmtId="0" fontId="47" fillId="24" borderId="11" xfId="0" applyFont="1" applyFill="1" applyBorder="1" applyAlignment="1">
      <alignment horizontal="left" vertical="center" wrapText="1"/>
    </xf>
    <xf numFmtId="0" fontId="23" fillId="16" borderId="10" xfId="0" applyFont="1" applyFill="1" applyBorder="1" applyAlignment="1" applyProtection="1">
      <alignment horizontal="center" vertical="center" wrapText="1"/>
    </xf>
    <xf numFmtId="0" fontId="47" fillId="19" borderId="29" xfId="0" applyFont="1" applyFill="1" applyBorder="1" applyAlignment="1">
      <alignment horizontal="left" vertical="center" wrapText="1"/>
    </xf>
    <xf numFmtId="0" fontId="0" fillId="19" borderId="13" xfId="0" applyFont="1" applyFill="1" applyBorder="1" applyAlignment="1" applyProtection="1">
      <alignment horizontal="center" vertical="center" wrapText="1"/>
      <protection hidden="1"/>
    </xf>
    <xf numFmtId="0" fontId="29" fillId="19" borderId="24" xfId="0" applyFont="1" applyFill="1" applyBorder="1" applyAlignment="1">
      <alignment horizontal="center" vertical="center" wrapText="1"/>
    </xf>
    <xf numFmtId="0" fontId="60" fillId="19" borderId="12" xfId="0" applyFont="1" applyFill="1" applyBorder="1" applyAlignment="1">
      <alignment horizontal="center" vertical="center"/>
    </xf>
    <xf numFmtId="0" fontId="30" fillId="24" borderId="95" xfId="0" applyFont="1" applyFill="1" applyBorder="1" applyAlignment="1">
      <alignment horizontal="left" vertical="center"/>
    </xf>
    <xf numFmtId="0" fontId="97" fillId="24" borderId="10" xfId="0" applyFont="1" applyFill="1" applyBorder="1" applyAlignment="1">
      <alignment horizontal="left" vertical="center" wrapText="1"/>
    </xf>
    <xf numFmtId="0" fontId="60" fillId="19" borderId="32" xfId="0" applyFont="1" applyFill="1" applyBorder="1" applyAlignment="1">
      <alignment horizontal="center" vertical="center"/>
    </xf>
    <xf numFmtId="0" fontId="28" fillId="13" borderId="10" xfId="0" applyFont="1" applyFill="1" applyBorder="1" applyAlignment="1" applyProtection="1">
      <alignment horizontal="left" vertical="center" wrapText="1"/>
    </xf>
    <xf numFmtId="0" fontId="28" fillId="16" borderId="10" xfId="0" applyFont="1" applyFill="1" applyBorder="1" applyAlignment="1" applyProtection="1">
      <alignment horizontal="left" vertical="top" wrapText="1"/>
    </xf>
    <xf numFmtId="0" fontId="0" fillId="0" borderId="10" xfId="0" applyFont="1" applyBorder="1" applyAlignment="1" applyProtection="1">
      <alignment horizontal="left" vertical="top"/>
    </xf>
    <xf numFmtId="0" fontId="98" fillId="0" borderId="16" xfId="0" applyFont="1" applyBorder="1" applyAlignment="1" applyProtection="1">
      <alignment horizontal="center" vertical="top" wrapText="1"/>
    </xf>
    <xf numFmtId="0" fontId="9" fillId="14" borderId="32" xfId="0" applyFont="1" applyFill="1" applyBorder="1" applyAlignment="1">
      <alignment horizontal="center" vertical="center"/>
    </xf>
    <xf numFmtId="0" fontId="26" fillId="16" borderId="13" xfId="0" applyFont="1" applyFill="1" applyBorder="1" applyAlignment="1" applyProtection="1">
      <alignment horizontal="center" vertical="center" wrapText="1"/>
      <protection hidden="1"/>
    </xf>
    <xf numFmtId="0" fontId="26" fillId="16" borderId="14" xfId="0" applyFont="1" applyFill="1" applyBorder="1" applyAlignment="1" applyProtection="1">
      <alignment horizontal="center" vertical="center" wrapText="1"/>
      <protection hidden="1"/>
    </xf>
    <xf numFmtId="0" fontId="9" fillId="14" borderId="31" xfId="0" applyFont="1" applyFill="1" applyBorder="1" applyAlignment="1">
      <alignment horizontal="center" vertical="center"/>
    </xf>
    <xf numFmtId="0" fontId="0" fillId="13" borderId="31" xfId="0" applyFont="1" applyFill="1" applyBorder="1" applyAlignment="1">
      <alignment horizontal="center"/>
    </xf>
    <xf numFmtId="0" fontId="0" fillId="13" borderId="12" xfId="0" applyFont="1" applyFill="1" applyBorder="1" applyAlignment="1">
      <alignment horizontal="center" vertical="center"/>
    </xf>
    <xf numFmtId="0" fontId="25" fillId="13" borderId="24"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0" fillId="14" borderId="12" xfId="0" applyFont="1" applyFill="1" applyBorder="1" applyAlignment="1">
      <alignment horizontal="center" vertical="center"/>
    </xf>
    <xf numFmtId="0" fontId="29" fillId="0" borderId="182" xfId="0" applyFont="1" applyBorder="1" applyAlignment="1">
      <alignment horizontal="center" vertical="center" wrapText="1"/>
    </xf>
    <xf numFmtId="0" fontId="29" fillId="0" borderId="183" xfId="0" applyFont="1" applyBorder="1" applyAlignment="1">
      <alignment horizontal="center" vertical="center" wrapText="1"/>
    </xf>
    <xf numFmtId="0" fontId="29" fillId="0" borderId="143" xfId="0" applyFont="1" applyBorder="1" applyAlignment="1">
      <alignment horizontal="center" vertical="center" wrapText="1"/>
    </xf>
    <xf numFmtId="0" fontId="29" fillId="0" borderId="51" xfId="0" applyFont="1" applyBorder="1" applyAlignment="1">
      <alignment horizontal="center" vertical="center" wrapText="1"/>
    </xf>
    <xf numFmtId="0" fontId="29" fillId="14" borderId="50" xfId="0" applyFont="1" applyFill="1" applyBorder="1" applyAlignment="1">
      <alignment horizontal="center" vertical="center" wrapText="1"/>
    </xf>
    <xf numFmtId="0" fontId="0" fillId="14" borderId="95" xfId="0" applyFill="1" applyBorder="1" applyAlignment="1">
      <alignment horizontal="center" vertical="center" wrapText="1"/>
    </xf>
    <xf numFmtId="0" fontId="0" fillId="0" borderId="59" xfId="0" applyFont="1" applyBorder="1" applyAlignment="1">
      <alignment horizontal="center" vertical="center" wrapText="1"/>
    </xf>
    <xf numFmtId="0" fontId="26" fillId="16" borderId="76" xfId="0" applyFont="1" applyFill="1" applyBorder="1" applyAlignment="1" applyProtection="1">
      <alignment horizontal="center" vertical="center" wrapText="1"/>
      <protection hidden="1"/>
    </xf>
    <xf numFmtId="0" fontId="28" fillId="14" borderId="56" xfId="0" applyFont="1" applyFill="1" applyBorder="1" applyAlignment="1">
      <alignment horizontal="center"/>
    </xf>
    <xf numFmtId="0" fontId="30" fillId="14" borderId="32" xfId="0" applyFont="1" applyFill="1" applyBorder="1" applyAlignment="1">
      <alignment horizontal="center" vertical="center"/>
    </xf>
    <xf numFmtId="0" fontId="29" fillId="14" borderId="56" xfId="0" applyFont="1" applyFill="1" applyBorder="1" applyAlignment="1">
      <alignment horizontal="center" vertical="center" wrapText="1"/>
    </xf>
    <xf numFmtId="0" fontId="17" fillId="24" borderId="10" xfId="0" applyFont="1" applyFill="1" applyBorder="1" applyAlignment="1" applyProtection="1">
      <alignment horizontal="center" vertical="center"/>
    </xf>
    <xf numFmtId="0" fontId="23" fillId="24" borderId="10" xfId="0" applyFont="1" applyFill="1" applyBorder="1" applyAlignment="1" applyProtection="1">
      <alignment horizontal="center" vertical="center" wrapText="1"/>
    </xf>
    <xf numFmtId="0" fontId="101" fillId="13" borderId="10" xfId="25" applyNumberFormat="1" applyFont="1" applyFill="1" applyBorder="1" applyAlignment="1" applyProtection="1">
      <alignment horizontal="center" vertical="center"/>
    </xf>
    <xf numFmtId="0" fontId="15" fillId="16" borderId="10" xfId="0" applyFont="1" applyFill="1" applyBorder="1" applyAlignment="1" applyProtection="1">
      <alignment horizontal="center" vertical="center"/>
    </xf>
    <xf numFmtId="10" fontId="129" fillId="10" borderId="10" xfId="30" applyNumberFormat="1" applyFill="1" applyBorder="1" applyAlignment="1" applyProtection="1">
      <alignment horizontal="center" vertical="center"/>
      <protection locked="0"/>
    </xf>
    <xf numFmtId="2" fontId="129" fillId="10" borderId="10" xfId="30" applyNumberFormat="1" applyFill="1" applyBorder="1" applyAlignment="1" applyProtection="1">
      <alignment horizontal="center" vertical="center"/>
      <protection locked="0"/>
    </xf>
    <xf numFmtId="0" fontId="60" fillId="16" borderId="10" xfId="0" applyFont="1" applyFill="1" applyBorder="1" applyAlignment="1" applyProtection="1">
      <alignment horizontal="center" vertical="center" wrapText="1"/>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9" fillId="24" borderId="11" xfId="0" applyFont="1" applyFill="1" applyBorder="1" applyAlignment="1" applyProtection="1">
      <alignment horizontal="center" vertical="center" wrapText="1"/>
    </xf>
    <xf numFmtId="0" fontId="30" fillId="16" borderId="10" xfId="0" applyFont="1" applyFill="1" applyBorder="1" applyAlignment="1" applyProtection="1">
      <alignment horizontal="center" vertical="center" wrapText="1"/>
    </xf>
    <xf numFmtId="0" fontId="35" fillId="25" borderId="100" xfId="0" applyFont="1" applyFill="1" applyBorder="1" applyAlignment="1">
      <alignment horizontal="right" vertical="center"/>
    </xf>
    <xf numFmtId="0" fontId="35" fillId="25" borderId="135" xfId="0" applyFont="1" applyFill="1" applyBorder="1" applyAlignment="1">
      <alignment horizontal="right" vertical="center"/>
    </xf>
    <xf numFmtId="0" fontId="35" fillId="25" borderId="10" xfId="0" applyFont="1" applyFill="1" applyBorder="1" applyAlignment="1">
      <alignment horizontal="right" vertical="center" wrapText="1"/>
    </xf>
    <xf numFmtId="0" fontId="139" fillId="41" borderId="10" xfId="0" applyFont="1" applyFill="1" applyBorder="1" applyAlignment="1" applyProtection="1">
      <alignment horizontal="center" vertical="center" wrapText="1"/>
    </xf>
    <xf numFmtId="0" fontId="80" fillId="19" borderId="10" xfId="0" applyFont="1" applyFill="1" applyBorder="1" applyAlignment="1">
      <alignment horizontal="left" vertical="center"/>
    </xf>
    <xf numFmtId="0" fontId="119" fillId="13" borderId="177" xfId="25" applyNumberFormat="1" applyFont="1" applyFill="1" applyBorder="1" applyAlignment="1" applyProtection="1">
      <alignment horizontal="center" vertical="center"/>
      <protection locked="0"/>
    </xf>
    <xf numFmtId="0" fontId="119" fillId="13" borderId="171" xfId="25" applyNumberFormat="1" applyFont="1" applyFill="1" applyBorder="1" applyAlignment="1" applyProtection="1">
      <alignment horizontal="center" vertical="center"/>
      <protection locked="0"/>
    </xf>
    <xf numFmtId="0" fontId="133" fillId="41" borderId="10" xfId="0" applyFont="1" applyFill="1" applyBorder="1" applyAlignment="1" applyProtection="1">
      <alignment horizontal="center" vertical="center" wrapText="1"/>
    </xf>
    <xf numFmtId="0" fontId="134" fillId="41" borderId="10"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130" fillId="24" borderId="52" xfId="0" applyFont="1" applyFill="1" applyBorder="1" applyAlignment="1" applyProtection="1">
      <alignment horizontal="center" vertical="center" wrapText="1"/>
    </xf>
    <xf numFmtId="0" fontId="131" fillId="19" borderId="10" xfId="0" applyFont="1" applyFill="1" applyBorder="1" applyAlignment="1">
      <alignment horizontal="center" vertical="center" wrapText="1"/>
    </xf>
    <xf numFmtId="0" fontId="103" fillId="24" borderId="10" xfId="0" applyFont="1" applyFill="1" applyBorder="1" applyAlignment="1" applyProtection="1">
      <alignment horizontal="center" vertical="center" wrapText="1"/>
    </xf>
    <xf numFmtId="0" fontId="25" fillId="19" borderId="10" xfId="0" applyFont="1" applyFill="1" applyBorder="1" applyAlignment="1">
      <alignment horizontal="center" vertical="center" wrapText="1"/>
    </xf>
    <xf numFmtId="0" fontId="0" fillId="0" borderId="46" xfId="0" applyFont="1" applyBorder="1" applyAlignment="1">
      <alignment horizontal="center" vertical="center" wrapText="1"/>
    </xf>
    <xf numFmtId="0" fontId="136" fillId="42" borderId="10" xfId="0" applyFont="1" applyFill="1" applyBorder="1" applyAlignment="1">
      <alignment horizontal="left" vertical="center" wrapText="1" indent="1"/>
    </xf>
    <xf numFmtId="0" fontId="136" fillId="42" borderId="10" xfId="0" applyFont="1" applyFill="1" applyBorder="1" applyAlignment="1">
      <alignment horizontal="center" vertical="center" wrapText="1"/>
    </xf>
    <xf numFmtId="1" fontId="105" fillId="19" borderId="78" xfId="0" applyNumberFormat="1" applyFont="1" applyFill="1" applyBorder="1" applyAlignment="1">
      <alignment horizontal="center" vertical="center" textRotation="90" wrapText="1"/>
    </xf>
    <xf numFmtId="0" fontId="37" fillId="24" borderId="10" xfId="0" applyFont="1" applyFill="1" applyBorder="1" applyAlignment="1" applyProtection="1">
      <alignment horizontal="left" vertical="center" wrapText="1"/>
    </xf>
    <xf numFmtId="0" fontId="37" fillId="24" borderId="188" xfId="0" applyFont="1" applyFill="1" applyBorder="1" applyAlignment="1" applyProtection="1">
      <alignment horizontal="left" vertical="center" wrapText="1"/>
    </xf>
    <xf numFmtId="0" fontId="33" fillId="19" borderId="10" xfId="0" applyFont="1" applyFill="1" applyBorder="1" applyAlignment="1">
      <alignment horizontal="right" wrapText="1"/>
    </xf>
    <xf numFmtId="0" fontId="38" fillId="0" borderId="71" xfId="0" applyFont="1" applyFill="1" applyBorder="1" applyAlignment="1" applyProtection="1">
      <alignment horizontal="left" vertical="center" wrapText="1"/>
    </xf>
    <xf numFmtId="0" fontId="59" fillId="13" borderId="11" xfId="25" applyNumberFormat="1" applyFont="1" applyFill="1" applyBorder="1" applyAlignment="1" applyProtection="1">
      <alignment horizontal="center" vertical="center"/>
    </xf>
    <xf numFmtId="0" fontId="59" fillId="13" borderId="15" xfId="25" applyNumberFormat="1" applyFont="1" applyFill="1" applyBorder="1" applyAlignment="1" applyProtection="1">
      <alignment horizontal="center" vertical="center"/>
    </xf>
    <xf numFmtId="0" fontId="52" fillId="0" borderId="10" xfId="0" applyFont="1" applyFill="1" applyBorder="1" applyAlignment="1" applyProtection="1">
      <alignment horizontal="left" vertical="center" wrapText="1" indent="1"/>
    </xf>
    <xf numFmtId="0" fontId="38" fillId="0" borderId="10" xfId="0" applyFont="1" applyFill="1" applyBorder="1" applyAlignment="1" applyProtection="1">
      <alignment horizontal="left" vertical="center" wrapText="1"/>
    </xf>
    <xf numFmtId="0" fontId="52" fillId="0" borderId="72" xfId="0" applyFont="1" applyFill="1" applyBorder="1" applyAlignment="1" applyProtection="1">
      <alignment horizontal="center" vertical="top" wrapText="1"/>
    </xf>
    <xf numFmtId="0" fontId="38" fillId="0" borderId="10" xfId="34" applyFont="1" applyBorder="1" applyAlignment="1">
      <alignment horizontal="left" vertical="center" indent="1"/>
    </xf>
    <xf numFmtId="0" fontId="38" fillId="0" borderId="11"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shrinkToFit="1"/>
    </xf>
    <xf numFmtId="0" fontId="39" fillId="0" borderId="11" xfId="0" applyFont="1" applyFill="1" applyBorder="1" applyAlignment="1" applyProtection="1">
      <alignment horizontal="center" vertical="center" wrapText="1" shrinkToFit="1"/>
    </xf>
    <xf numFmtId="0" fontId="39" fillId="0" borderId="16" xfId="0" applyFont="1" applyFill="1" applyBorder="1" applyAlignment="1" applyProtection="1">
      <alignment horizontal="center" vertical="center" wrapText="1" shrinkToFit="1"/>
    </xf>
    <xf numFmtId="0" fontId="39" fillId="0" borderId="15" xfId="0" applyFont="1" applyFill="1" applyBorder="1" applyAlignment="1" applyProtection="1">
      <alignment horizontal="center" vertical="center" wrapText="1" shrinkToFit="1"/>
    </xf>
    <xf numFmtId="167" fontId="28" fillId="74" borderId="136" xfId="0" applyNumberFormat="1" applyFont="1" applyFill="1" applyBorder="1" applyAlignment="1" applyProtection="1">
      <alignment horizontal="center" vertical="center" shrinkToFit="1"/>
    </xf>
    <xf numFmtId="167" fontId="28" fillId="74" borderId="221" xfId="0" applyNumberFormat="1" applyFont="1" applyFill="1" applyBorder="1" applyAlignment="1" applyProtection="1">
      <alignment horizontal="center" vertical="center" shrinkToFit="1"/>
    </xf>
    <xf numFmtId="49" fontId="156" fillId="53" borderId="167" xfId="0" applyNumberFormat="1" applyFont="1" applyFill="1" applyBorder="1" applyAlignment="1" applyProtection="1">
      <alignment horizontal="center" textRotation="90" wrapText="1"/>
    </xf>
    <xf numFmtId="49" fontId="156" fillId="53" borderId="139" xfId="0" applyNumberFormat="1" applyFont="1" applyFill="1" applyBorder="1" applyAlignment="1" applyProtection="1">
      <alignment horizontal="center" textRotation="90" wrapText="1"/>
    </xf>
    <xf numFmtId="49" fontId="156" fillId="53" borderId="168" xfId="0" applyNumberFormat="1" applyFont="1" applyFill="1" applyBorder="1" applyAlignment="1" applyProtection="1">
      <alignment horizontal="center" textRotation="90" wrapText="1"/>
    </xf>
    <xf numFmtId="49" fontId="155" fillId="53" borderId="167" xfId="0" applyNumberFormat="1" applyFont="1" applyFill="1" applyBorder="1" applyAlignment="1" applyProtection="1">
      <alignment horizontal="center" textRotation="90" wrapText="1" shrinkToFit="1"/>
    </xf>
    <xf numFmtId="49" fontId="155" fillId="53" borderId="139" xfId="0" applyNumberFormat="1" applyFont="1" applyFill="1" applyBorder="1" applyAlignment="1" applyProtection="1">
      <alignment horizontal="center" textRotation="90" wrapText="1" shrinkToFit="1"/>
    </xf>
    <xf numFmtId="49" fontId="155" fillId="53" borderId="168" xfId="0" applyNumberFormat="1" applyFont="1" applyFill="1" applyBorder="1" applyAlignment="1" applyProtection="1">
      <alignment horizontal="center" textRotation="90" wrapText="1" shrinkToFit="1"/>
    </xf>
    <xf numFmtId="167" fontId="28" fillId="58" borderId="100" xfId="0" applyNumberFormat="1" applyFont="1" applyFill="1" applyBorder="1" applyAlignment="1" applyProtection="1">
      <alignment horizontal="center" vertical="center" shrinkToFit="1"/>
    </xf>
    <xf numFmtId="167" fontId="28" fillId="58" borderId="194" xfId="0" applyNumberFormat="1" applyFont="1" applyFill="1" applyBorder="1" applyAlignment="1" applyProtection="1">
      <alignment horizontal="center" vertical="center" shrinkToFit="1"/>
    </xf>
    <xf numFmtId="167" fontId="28" fillId="58" borderId="244" xfId="0" applyNumberFormat="1" applyFont="1" applyFill="1" applyBorder="1" applyAlignment="1" applyProtection="1">
      <alignment horizontal="center" vertical="center" shrinkToFit="1"/>
    </xf>
    <xf numFmtId="167" fontId="28" fillId="58" borderId="247" xfId="0" applyNumberFormat="1" applyFont="1" applyFill="1" applyBorder="1" applyAlignment="1" applyProtection="1">
      <alignment horizontal="center" vertical="center" shrinkToFit="1"/>
    </xf>
    <xf numFmtId="0" fontId="168" fillId="39" borderId="197" xfId="0" applyFont="1" applyFill="1" applyBorder="1" applyAlignment="1">
      <alignment horizontal="left" vertical="center" wrapText="1" indent="1"/>
    </xf>
    <xf numFmtId="0" fontId="168" fillId="39" borderId="193" xfId="0" applyFont="1" applyFill="1" applyBorder="1" applyAlignment="1">
      <alignment horizontal="left" vertical="center" wrapText="1" indent="1"/>
    </xf>
    <xf numFmtId="0" fontId="168" fillId="39" borderId="198" xfId="0" applyFont="1" applyFill="1" applyBorder="1" applyAlignment="1">
      <alignment horizontal="left" vertical="center" wrapText="1" indent="1"/>
    </xf>
    <xf numFmtId="0" fontId="168" fillId="39" borderId="189" xfId="0" applyFont="1" applyFill="1" applyBorder="1" applyAlignment="1">
      <alignment horizontal="left" vertical="center" wrapText="1" indent="1"/>
    </xf>
    <xf numFmtId="0" fontId="168" fillId="39" borderId="0" xfId="0" applyFont="1" applyFill="1" applyBorder="1" applyAlignment="1">
      <alignment horizontal="left" vertical="center" wrapText="1" indent="1"/>
    </xf>
    <xf numFmtId="0" fontId="168" fillId="39" borderId="190" xfId="0" applyFont="1" applyFill="1" applyBorder="1" applyAlignment="1">
      <alignment horizontal="left" vertical="center" wrapText="1" indent="1"/>
    </xf>
    <xf numFmtId="0" fontId="168" fillId="39" borderId="117" xfId="0" applyFont="1" applyFill="1" applyBorder="1" applyAlignment="1">
      <alignment horizontal="left" vertical="center" wrapText="1" indent="1"/>
    </xf>
    <xf numFmtId="0" fontId="168" fillId="39" borderId="196" xfId="0" applyFont="1" applyFill="1" applyBorder="1" applyAlignment="1">
      <alignment horizontal="left" vertical="center" wrapText="1" indent="1"/>
    </xf>
    <xf numFmtId="0" fontId="168" fillId="39" borderId="191" xfId="0" applyFont="1" applyFill="1" applyBorder="1" applyAlignment="1">
      <alignment horizontal="left" vertical="center" wrapText="1" indent="1"/>
    </xf>
    <xf numFmtId="3" fontId="47" fillId="62" borderId="0" xfId="0" applyNumberFormat="1" applyFont="1" applyFill="1" applyBorder="1" applyAlignment="1" applyProtection="1">
      <alignment horizontal="right" vertical="center" indent="1" shrinkToFit="1"/>
    </xf>
    <xf numFmtId="0" fontId="90" fillId="13" borderId="252" xfId="25" applyNumberFormat="1" applyFont="1" applyFill="1" applyBorder="1" applyAlignment="1" applyProtection="1">
      <alignment horizontal="center" vertical="center"/>
    </xf>
    <xf numFmtId="0" fontId="90" fillId="13" borderId="113" xfId="25" applyNumberFormat="1" applyFont="1" applyFill="1" applyBorder="1" applyAlignment="1" applyProtection="1">
      <alignment horizontal="center" vertical="center"/>
    </xf>
    <xf numFmtId="0" fontId="154" fillId="39" borderId="114" xfId="0" applyFont="1" applyFill="1" applyBorder="1" applyAlignment="1" applyProtection="1">
      <alignment horizontal="center" vertical="center" wrapText="1"/>
    </xf>
    <xf numFmtId="0" fontId="154" fillId="39" borderId="115" xfId="0" applyFont="1" applyFill="1" applyBorder="1" applyAlignment="1" applyProtection="1">
      <alignment horizontal="center" vertical="center" wrapText="1"/>
    </xf>
    <xf numFmtId="0" fontId="154" fillId="39" borderId="116" xfId="0" applyFont="1" applyFill="1" applyBorder="1" applyAlignment="1" applyProtection="1">
      <alignment horizontal="center" vertical="center" wrapText="1"/>
    </xf>
    <xf numFmtId="0" fontId="154" fillId="39" borderId="189" xfId="0" applyFont="1" applyFill="1" applyBorder="1" applyAlignment="1" applyProtection="1">
      <alignment horizontal="center" vertical="center" wrapText="1"/>
    </xf>
    <xf numFmtId="0" fontId="154" fillId="39" borderId="0" xfId="0" applyFont="1" applyFill="1" applyBorder="1" applyAlignment="1" applyProtection="1">
      <alignment horizontal="center" vertical="center" wrapText="1"/>
    </xf>
    <xf numFmtId="0" fontId="154" fillId="39" borderId="190" xfId="0" applyFont="1" applyFill="1" applyBorder="1" applyAlignment="1" applyProtection="1">
      <alignment horizontal="center" vertical="center" wrapText="1"/>
    </xf>
    <xf numFmtId="0" fontId="154" fillId="39" borderId="154" xfId="0" applyFont="1" applyFill="1" applyBorder="1" applyAlignment="1" applyProtection="1">
      <alignment horizontal="center" vertical="center" wrapText="1"/>
    </xf>
    <xf numFmtId="0" fontId="154" fillId="39" borderId="196" xfId="0" applyFont="1" applyFill="1" applyBorder="1" applyAlignment="1" applyProtection="1">
      <alignment horizontal="center" vertical="center" wrapText="1"/>
    </xf>
    <xf numFmtId="0" fontId="154" fillId="39" borderId="191" xfId="0" applyFont="1" applyFill="1" applyBorder="1" applyAlignment="1" applyProtection="1">
      <alignment horizontal="center" vertical="center" wrapText="1"/>
    </xf>
    <xf numFmtId="0" fontId="39" fillId="53" borderId="100" xfId="0" applyFont="1" applyFill="1" applyBorder="1" applyAlignment="1" applyProtection="1">
      <alignment horizontal="left" vertical="center" indent="1"/>
    </xf>
    <xf numFmtId="0" fontId="39" fillId="53" borderId="101" xfId="0" applyFont="1" applyFill="1" applyBorder="1" applyAlignment="1" applyProtection="1">
      <alignment horizontal="left" vertical="center" indent="1"/>
    </xf>
    <xf numFmtId="0" fontId="39" fillId="53" borderId="135" xfId="0" applyFont="1" applyFill="1" applyBorder="1" applyAlignment="1" applyProtection="1">
      <alignment horizontal="left" vertical="center" indent="1"/>
    </xf>
    <xf numFmtId="0" fontId="27" fillId="53" borderId="100" xfId="0" applyFont="1" applyFill="1" applyBorder="1" applyAlignment="1" applyProtection="1">
      <alignment horizontal="center" vertical="center" shrinkToFit="1"/>
    </xf>
    <xf numFmtId="0" fontId="27" fillId="53" borderId="135" xfId="0" applyFont="1" applyFill="1" applyBorder="1" applyAlignment="1" applyProtection="1">
      <alignment horizontal="center" vertical="center" shrinkToFit="1"/>
    </xf>
    <xf numFmtId="0" fontId="0" fillId="52" borderId="0" xfId="0" applyFont="1" applyFill="1" applyBorder="1" applyAlignment="1" applyProtection="1">
      <alignment horizontal="left" vertical="top" wrapText="1"/>
    </xf>
    <xf numFmtId="49" fontId="37" fillId="39" borderId="164" xfId="0" applyNumberFormat="1" applyFont="1" applyFill="1" applyBorder="1" applyAlignment="1" applyProtection="1">
      <alignment horizontal="center" textRotation="90" wrapText="1"/>
    </xf>
    <xf numFmtId="49" fontId="37" fillId="39" borderId="139" xfId="0" applyNumberFormat="1" applyFont="1" applyFill="1" applyBorder="1" applyAlignment="1" applyProtection="1">
      <alignment horizontal="center" textRotation="90" wrapText="1"/>
    </xf>
    <xf numFmtId="49" fontId="37" fillId="39" borderId="165" xfId="0" applyNumberFormat="1" applyFont="1" applyFill="1" applyBorder="1" applyAlignment="1" applyProtection="1">
      <alignment horizontal="center" textRotation="90" wrapText="1"/>
    </xf>
    <xf numFmtId="0" fontId="0" fillId="0" borderId="0" xfId="0" applyAlignment="1">
      <alignment horizontal="left" vertical="center" wrapText="1"/>
    </xf>
    <xf numFmtId="0" fontId="101" fillId="44" borderId="127" xfId="25" applyNumberFormat="1" applyFont="1" applyFill="1" applyBorder="1" applyAlignment="1" applyProtection="1">
      <alignment horizontal="left" vertical="center"/>
    </xf>
    <xf numFmtId="0" fontId="101" fillId="44" borderId="135" xfId="25" applyNumberFormat="1" applyFont="1" applyFill="1" applyBorder="1" applyAlignment="1" applyProtection="1">
      <alignment horizontal="left" vertical="center"/>
    </xf>
    <xf numFmtId="0" fontId="0" fillId="39" borderId="140" xfId="0" applyFill="1" applyBorder="1" applyAlignment="1">
      <alignment horizontal="center" vertical="center"/>
    </xf>
    <xf numFmtId="0" fontId="0" fillId="39" borderId="0" xfId="0" applyFill="1" applyBorder="1" applyAlignment="1">
      <alignment horizontal="center" vertical="center"/>
    </xf>
    <xf numFmtId="0" fontId="0" fillId="39" borderId="138" xfId="0" applyFill="1" applyBorder="1" applyAlignment="1">
      <alignment horizontal="center" vertical="center" wrapText="1"/>
    </xf>
    <xf numFmtId="0" fontId="0" fillId="39" borderId="147" xfId="0" applyFill="1" applyBorder="1" applyAlignment="1">
      <alignment horizontal="center" vertical="center" wrapText="1"/>
    </xf>
    <xf numFmtId="0" fontId="0" fillId="39" borderId="153" xfId="0" applyFill="1" applyBorder="1" applyAlignment="1">
      <alignment horizontal="center" vertical="center" wrapText="1"/>
    </xf>
    <xf numFmtId="0" fontId="27" fillId="39" borderId="132" xfId="0" applyFont="1" applyFill="1" applyBorder="1" applyAlignment="1">
      <alignment horizontal="center" vertical="center" wrapText="1"/>
    </xf>
    <xf numFmtId="0" fontId="27" fillId="39" borderId="130" xfId="0" applyFont="1" applyFill="1" applyBorder="1" applyAlignment="1">
      <alignment horizontal="center" vertical="center" wrapText="1"/>
    </xf>
    <xf numFmtId="0" fontId="27" fillId="39" borderId="143" xfId="0" applyFont="1" applyFill="1" applyBorder="1" applyAlignment="1">
      <alignment horizontal="center" vertical="center" wrapText="1"/>
    </xf>
    <xf numFmtId="0" fontId="27" fillId="39" borderId="0" xfId="0" applyFont="1" applyFill="1" applyBorder="1" applyAlignment="1">
      <alignment horizontal="center" vertical="center" wrapText="1"/>
    </xf>
    <xf numFmtId="0" fontId="28" fillId="39" borderId="133" xfId="0" applyFont="1" applyFill="1" applyBorder="1" applyAlignment="1">
      <alignment horizontal="center" vertical="center"/>
    </xf>
    <xf numFmtId="0" fontId="28" fillId="39" borderId="144" xfId="0" applyFont="1" applyFill="1" applyBorder="1" applyAlignment="1">
      <alignment horizontal="center" vertical="center"/>
    </xf>
    <xf numFmtId="0" fontId="0" fillId="0" borderId="132" xfId="0" applyBorder="1" applyAlignment="1">
      <alignment horizontal="center" vertical="center" wrapText="1"/>
    </xf>
    <xf numFmtId="0" fontId="0" fillId="0" borderId="143" xfId="0" applyBorder="1" applyAlignment="1">
      <alignment horizontal="center" vertical="center" wrapText="1"/>
    </xf>
    <xf numFmtId="0" fontId="0" fillId="0" borderId="148" xfId="0" applyBorder="1" applyAlignment="1">
      <alignment horizontal="center" vertical="center" wrapText="1"/>
    </xf>
    <xf numFmtId="0" fontId="0" fillId="39" borderId="127" xfId="0" applyFill="1" applyBorder="1" applyAlignment="1">
      <alignment horizontal="center" vertical="center" wrapText="1"/>
    </xf>
    <xf numFmtId="0" fontId="0" fillId="39" borderId="135" xfId="0" applyFill="1" applyBorder="1" applyAlignment="1">
      <alignment horizontal="center" vertical="center" wrapText="1"/>
    </xf>
    <xf numFmtId="0" fontId="37" fillId="39" borderId="132" xfId="0" applyFont="1" applyFill="1" applyBorder="1" applyAlignment="1">
      <alignment horizontal="center" vertical="center"/>
    </xf>
    <xf numFmtId="0" fontId="37" fillId="39" borderId="130" xfId="0" applyFont="1" applyFill="1" applyBorder="1" applyAlignment="1">
      <alignment horizontal="center" vertical="center"/>
    </xf>
    <xf numFmtId="0" fontId="37" fillId="39" borderId="137" xfId="0" applyFont="1" applyFill="1" applyBorder="1" applyAlignment="1">
      <alignment horizontal="center" vertical="center"/>
    </xf>
    <xf numFmtId="0" fontId="37" fillId="39" borderId="143"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46" xfId="0" applyFont="1" applyFill="1" applyBorder="1" applyAlignment="1">
      <alignment horizontal="center" vertical="center"/>
    </xf>
    <xf numFmtId="0" fontId="37" fillId="39" borderId="150" xfId="0" applyFont="1" applyFill="1" applyBorder="1" applyAlignment="1">
      <alignment horizontal="center" vertical="center"/>
    </xf>
    <xf numFmtId="0" fontId="37" fillId="39" borderId="128" xfId="0" applyFont="1" applyFill="1" applyBorder="1" applyAlignment="1">
      <alignment horizontal="center" vertical="center"/>
    </xf>
    <xf numFmtId="0" fontId="37" fillId="39" borderId="152" xfId="0" applyFont="1" applyFill="1" applyBorder="1" applyAlignment="1">
      <alignment horizontal="center" vertical="center"/>
    </xf>
    <xf numFmtId="0" fontId="33" fillId="47" borderId="131" xfId="0" applyFont="1" applyFill="1" applyBorder="1" applyAlignment="1">
      <alignment horizontal="center" textRotation="90"/>
    </xf>
    <xf numFmtId="0" fontId="33" fillId="47" borderId="142" xfId="0" applyFont="1" applyFill="1" applyBorder="1" applyAlignment="1">
      <alignment horizontal="center" textRotation="90"/>
    </xf>
    <xf numFmtId="0" fontId="39" fillId="39" borderId="132" xfId="0" applyFont="1" applyFill="1" applyBorder="1" applyAlignment="1">
      <alignment horizontal="center"/>
    </xf>
    <xf numFmtId="0" fontId="39" fillId="39" borderId="130" xfId="0" applyFont="1" applyFill="1" applyBorder="1" applyAlignment="1">
      <alignment horizontal="center"/>
    </xf>
    <xf numFmtId="0" fontId="39" fillId="39" borderId="133" xfId="0" applyFont="1" applyFill="1" applyBorder="1" applyAlignment="1">
      <alignment horizontal="center"/>
    </xf>
    <xf numFmtId="0" fontId="52" fillId="39" borderId="132" xfId="0" applyFont="1" applyFill="1" applyBorder="1" applyAlignment="1">
      <alignment horizontal="center" vertical="center"/>
    </xf>
    <xf numFmtId="0" fontId="52" fillId="39" borderId="133" xfId="0" applyFont="1" applyFill="1" applyBorder="1" applyAlignment="1">
      <alignment horizontal="center" vertical="center"/>
    </xf>
    <xf numFmtId="0" fontId="52" fillId="39" borderId="143" xfId="0" applyFont="1" applyFill="1" applyBorder="1" applyAlignment="1">
      <alignment horizontal="center" vertical="center"/>
    </xf>
    <xf numFmtId="0" fontId="52" fillId="39" borderId="144" xfId="0" applyFont="1" applyFill="1" applyBorder="1" applyAlignment="1">
      <alignment horizontal="center" vertical="center"/>
    </xf>
    <xf numFmtId="0" fontId="52" fillId="39" borderId="235" xfId="0" applyFont="1" applyFill="1" applyBorder="1" applyAlignment="1">
      <alignment horizontal="center" vertical="center"/>
    </xf>
    <xf numFmtId="0" fontId="52" fillId="39" borderId="149" xfId="0" applyFont="1" applyFill="1" applyBorder="1" applyAlignment="1">
      <alignment horizontal="center" vertical="center"/>
    </xf>
    <xf numFmtId="0" fontId="37" fillId="39" borderId="100" xfId="0" applyFont="1" applyFill="1" applyBorder="1" applyAlignment="1">
      <alignment horizontal="center" vertical="center"/>
    </xf>
    <xf numFmtId="0" fontId="37" fillId="39" borderId="102" xfId="0" applyFont="1" applyFill="1" applyBorder="1" applyAlignment="1">
      <alignment horizontal="center" vertical="center"/>
    </xf>
    <xf numFmtId="0" fontId="47" fillId="46" borderId="100" xfId="0" applyFont="1" applyFill="1" applyBorder="1" applyAlignment="1" applyProtection="1">
      <alignment horizontal="center" vertical="center"/>
    </xf>
    <xf numFmtId="0" fontId="47" fillId="46" borderId="102" xfId="0" applyFont="1" applyFill="1" applyBorder="1" applyAlignment="1" applyProtection="1">
      <alignment horizontal="center" vertical="center"/>
    </xf>
    <xf numFmtId="0" fontId="47" fillId="46" borderId="101" xfId="0" applyFont="1" applyFill="1" applyBorder="1" applyAlignment="1" applyProtection="1">
      <alignment horizontal="center" vertical="center"/>
    </xf>
    <xf numFmtId="0" fontId="27" fillId="39" borderId="129" xfId="0" applyFont="1" applyFill="1" applyBorder="1" applyAlignment="1">
      <alignment horizontal="center" vertical="center" textRotation="90" wrapText="1"/>
    </xf>
    <xf numFmtId="0" fontId="27" fillId="39" borderId="141" xfId="0" applyFont="1" applyFill="1" applyBorder="1" applyAlignment="1">
      <alignment horizontal="center" vertical="center" textRotation="90" wrapText="1"/>
    </xf>
    <xf numFmtId="0" fontId="27" fillId="39" borderId="237" xfId="0" applyFont="1" applyFill="1" applyBorder="1" applyAlignment="1">
      <alignment horizontal="center" vertical="center" textRotation="90" wrapText="1"/>
    </xf>
    <xf numFmtId="0" fontId="28" fillId="39" borderId="233" xfId="0" applyFont="1" applyFill="1" applyBorder="1" applyAlignment="1">
      <alignment horizontal="center" vertical="center" textRotation="90" wrapText="1"/>
    </xf>
    <xf numFmtId="0" fontId="28" fillId="39" borderId="139" xfId="0" applyFont="1" applyFill="1" applyBorder="1" applyAlignment="1">
      <alignment horizontal="center" vertical="center" textRotation="90" wrapText="1"/>
    </xf>
    <xf numFmtId="0" fontId="28" fillId="39" borderId="238" xfId="0" applyFont="1" applyFill="1" applyBorder="1" applyAlignment="1">
      <alignment horizontal="center" vertical="center" textRotation="90" wrapText="1"/>
    </xf>
    <xf numFmtId="0" fontId="27" fillId="39" borderId="233" xfId="0" applyFont="1" applyFill="1" applyBorder="1" applyAlignment="1">
      <alignment horizontal="center" vertical="center" textRotation="90" wrapText="1"/>
    </xf>
    <xf numFmtId="0" fontId="27" fillId="39" borderId="139" xfId="0" applyFont="1" applyFill="1" applyBorder="1" applyAlignment="1">
      <alignment horizontal="center" vertical="center" textRotation="90" wrapText="1"/>
    </xf>
    <xf numFmtId="0" fontId="27" fillId="39" borderId="122" xfId="0" applyFont="1" applyFill="1" applyBorder="1" applyAlignment="1">
      <alignment horizontal="center" vertical="center" textRotation="90" wrapText="1"/>
    </xf>
    <xf numFmtId="0" fontId="38" fillId="39" borderId="234" xfId="0" applyFont="1" applyFill="1" applyBorder="1" applyAlignment="1">
      <alignment horizontal="center" vertical="center" wrapText="1"/>
    </xf>
    <xf numFmtId="0" fontId="38" fillId="39" borderId="140" xfId="0" applyFont="1" applyFill="1" applyBorder="1" applyAlignment="1">
      <alignment horizontal="center" vertical="center" wrapText="1"/>
    </xf>
    <xf numFmtId="0" fontId="38" fillId="39" borderId="239" xfId="0" applyFont="1" applyFill="1" applyBorder="1" applyAlignment="1">
      <alignment horizontal="center" vertical="center" wrapText="1"/>
    </xf>
    <xf numFmtId="0" fontId="28" fillId="39" borderId="134" xfId="0" applyFont="1" applyFill="1" applyBorder="1" applyAlignment="1">
      <alignment horizontal="center" vertical="center" textRotation="90" wrapText="1"/>
    </xf>
    <xf numFmtId="0" fontId="28" fillId="39" borderId="157" xfId="0" applyFont="1" applyFill="1" applyBorder="1" applyAlignment="1">
      <alignment horizontal="center" vertical="center" textRotation="90" wrapText="1"/>
    </xf>
    <xf numFmtId="0" fontId="28" fillId="39" borderId="162" xfId="0" applyFont="1" applyFill="1" applyBorder="1" applyAlignment="1">
      <alignment horizontal="center" vertical="center" textRotation="90" wrapText="1"/>
    </xf>
    <xf numFmtId="0" fontId="33" fillId="39" borderId="130" xfId="0" applyFont="1" applyFill="1" applyBorder="1" applyAlignment="1">
      <alignment horizontal="center" vertical="center" wrapText="1"/>
    </xf>
    <xf numFmtId="0" fontId="33" fillId="39" borderId="0" xfId="0" applyFont="1" applyFill="1" applyBorder="1" applyAlignment="1">
      <alignment horizontal="center" vertical="center" wrapText="1"/>
    </xf>
    <xf numFmtId="0" fontId="33" fillId="39" borderId="128" xfId="0" applyFont="1" applyFill="1" applyBorder="1" applyAlignment="1">
      <alignment horizontal="center" vertical="center" wrapText="1"/>
    </xf>
    <xf numFmtId="0" fontId="37" fillId="39" borderId="133" xfId="0" applyFont="1" applyFill="1" applyBorder="1" applyAlignment="1">
      <alignment horizontal="center" vertical="center"/>
    </xf>
    <xf numFmtId="0" fontId="37" fillId="39" borderId="144" xfId="0" applyFont="1" applyFill="1" applyBorder="1" applyAlignment="1">
      <alignment horizontal="center" vertical="center"/>
    </xf>
    <xf numFmtId="0" fontId="37" fillId="39" borderId="151" xfId="0" applyFont="1" applyFill="1" applyBorder="1" applyAlignment="1">
      <alignment horizontal="center" vertical="center"/>
    </xf>
    <xf numFmtId="0" fontId="38" fillId="0" borderId="10" xfId="0" applyFont="1" applyBorder="1" applyAlignment="1" applyProtection="1">
      <alignment horizontal="center" vertical="center"/>
      <protection locked="0"/>
    </xf>
    <xf numFmtId="0" fontId="52" fillId="0" borderId="60" xfId="0" applyFont="1" applyFill="1" applyBorder="1" applyAlignment="1" applyProtection="1">
      <alignment horizontal="center" vertical="center"/>
    </xf>
    <xf numFmtId="0" fontId="23" fillId="16" borderId="0" xfId="34" applyFont="1" applyFill="1" applyBorder="1" applyAlignment="1" applyProtection="1">
      <alignment horizontal="center" vertical="top"/>
    </xf>
    <xf numFmtId="0" fontId="27" fillId="16" borderId="10" xfId="34" applyFont="1" applyFill="1" applyBorder="1" applyAlignment="1" applyProtection="1">
      <alignment horizontal="left" vertical="center" indent="1" shrinkToFit="1"/>
    </xf>
    <xf numFmtId="0" fontId="9" fillId="16" borderId="72" xfId="34" applyFont="1" applyFill="1" applyBorder="1" applyAlignment="1" applyProtection="1">
      <alignment horizontal="center" vertical="center"/>
    </xf>
    <xf numFmtId="0" fontId="27" fillId="16" borderId="10" xfId="34" applyFont="1" applyFill="1" applyBorder="1" applyAlignment="1" applyProtection="1">
      <alignment horizontal="left" vertical="center" indent="1"/>
    </xf>
    <xf numFmtId="0" fontId="37" fillId="16" borderId="10" xfId="34" applyFont="1" applyFill="1" applyBorder="1" applyAlignment="1" applyProtection="1">
      <alignment horizontal="center" vertical="center"/>
    </xf>
    <xf numFmtId="0" fontId="28" fillId="0" borderId="192" xfId="34" applyFont="1" applyBorder="1" applyAlignment="1" applyProtection="1">
      <alignment horizontal="left" vertical="center" wrapText="1"/>
    </xf>
    <xf numFmtId="0" fontId="28" fillId="0" borderId="0" xfId="34" applyFont="1" applyBorder="1" applyAlignment="1" applyProtection="1">
      <alignment horizontal="left" vertical="center" wrapText="1"/>
    </xf>
    <xf numFmtId="0" fontId="47" fillId="39" borderId="100" xfId="0" applyFont="1" applyFill="1" applyBorder="1" applyAlignment="1" applyProtection="1">
      <alignment horizontal="center" vertical="center"/>
    </xf>
    <xf numFmtId="0" fontId="47" fillId="39" borderId="101" xfId="0" applyFont="1" applyFill="1" applyBorder="1" applyAlignment="1" applyProtection="1">
      <alignment horizontal="center" vertical="center"/>
    </xf>
    <xf numFmtId="0" fontId="47" fillId="39" borderId="102" xfId="0" applyFont="1" applyFill="1" applyBorder="1" applyAlignment="1" applyProtection="1">
      <alignment horizontal="center" vertical="center"/>
    </xf>
    <xf numFmtId="0" fontId="37" fillId="16" borderId="46" xfId="34" applyFont="1" applyFill="1" applyBorder="1" applyAlignment="1" applyProtection="1">
      <alignment horizontal="center" vertical="center"/>
    </xf>
    <xf numFmtId="0" fontId="27" fillId="16" borderId="46" xfId="34" applyFont="1" applyFill="1" applyBorder="1" applyAlignment="1" applyProtection="1">
      <alignment horizontal="left" vertical="center" indent="1" shrinkToFit="1"/>
    </xf>
    <xf numFmtId="0" fontId="37" fillId="16" borderId="60" xfId="0" applyFont="1" applyFill="1" applyBorder="1" applyAlignment="1" applyProtection="1">
      <alignment horizontal="center" vertical="center"/>
    </xf>
    <xf numFmtId="0" fontId="28" fillId="16" borderId="10" xfId="0" applyFont="1" applyFill="1" applyBorder="1" applyAlignment="1" applyProtection="1">
      <alignment horizontal="center" vertical="center"/>
    </xf>
    <xf numFmtId="0" fontId="92" fillId="24" borderId="71" xfId="40" applyFont="1" applyFill="1" applyBorder="1" applyAlignment="1" applyProtection="1">
      <alignment horizontal="left" vertical="center" wrapText="1"/>
    </xf>
    <xf numFmtId="0" fontId="28" fillId="19" borderId="10" xfId="0" applyFont="1" applyFill="1" applyBorder="1" applyAlignment="1" applyProtection="1">
      <alignment horizontal="right" vertical="center"/>
    </xf>
    <xf numFmtId="0" fontId="38" fillId="10" borderId="10" xfId="34" applyFont="1" applyFill="1" applyBorder="1" applyAlignment="1" applyProtection="1">
      <alignment horizontal="center" vertical="center"/>
      <protection locked="0"/>
    </xf>
    <xf numFmtId="0" fontId="27" fillId="24" borderId="10" xfId="34" applyFont="1" applyFill="1" applyBorder="1" applyAlignment="1" applyProtection="1">
      <alignment horizontal="center" vertical="center" wrapText="1"/>
    </xf>
    <xf numFmtId="0" fontId="37" fillId="24" borderId="11" xfId="34" applyFont="1" applyFill="1" applyBorder="1" applyAlignment="1" applyProtection="1">
      <alignment horizontal="center" vertical="center" wrapText="1"/>
    </xf>
    <xf numFmtId="0" fontId="27" fillId="24" borderId="52" xfId="34" applyFont="1" applyFill="1" applyBorder="1" applyAlignment="1" applyProtection="1">
      <alignment horizontal="center" wrapText="1"/>
    </xf>
    <xf numFmtId="0" fontId="27" fillId="24" borderId="10" xfId="34" applyFont="1" applyFill="1" applyBorder="1" applyAlignment="1" applyProtection="1">
      <alignment horizontal="center" wrapText="1"/>
    </xf>
    <xf numFmtId="0" fontId="27" fillId="24" borderId="15" xfId="34" applyFont="1" applyFill="1" applyBorder="1" applyAlignment="1" applyProtection="1">
      <alignment horizontal="center" vertical="center" wrapText="1"/>
    </xf>
    <xf numFmtId="0" fontId="37" fillId="16" borderId="52" xfId="34" applyFont="1" applyFill="1" applyBorder="1" applyAlignment="1">
      <alignment horizontal="center" vertical="center" wrapText="1"/>
    </xf>
    <xf numFmtId="0" fontId="0" fillId="0" borderId="10" xfId="34" applyFont="1" applyFill="1" applyBorder="1" applyAlignment="1" applyProtection="1">
      <alignment horizontal="left" vertical="center" wrapText="1"/>
    </xf>
    <xf numFmtId="0" fontId="9" fillId="0" borderId="52" xfId="0" applyFont="1" applyBorder="1" applyAlignment="1">
      <alignment horizontal="left" vertical="center" wrapText="1" indent="1"/>
    </xf>
    <xf numFmtId="0" fontId="15" fillId="0" borderId="46" xfId="0" applyFont="1" applyBorder="1" applyAlignment="1">
      <alignment horizontal="left" vertical="center" wrapText="1" indent="1"/>
    </xf>
    <xf numFmtId="0" fontId="37" fillId="72" borderId="10" xfId="34" applyFont="1" applyFill="1" applyBorder="1" applyAlignment="1" applyProtection="1">
      <alignment horizontal="left" vertical="center" indent="1"/>
      <protection hidden="1"/>
    </xf>
    <xf numFmtId="0" fontId="0" fillId="9" borderId="10" xfId="34" applyFont="1" applyFill="1" applyBorder="1" applyAlignment="1" applyProtection="1">
      <alignment horizontal="center" vertical="center"/>
      <protection hidden="1"/>
    </xf>
    <xf numFmtId="0" fontId="80" fillId="13" borderId="10" xfId="25" applyNumberFormat="1" applyFont="1" applyFill="1" applyBorder="1" applyAlignment="1" applyProtection="1">
      <alignment horizontal="center" vertical="center"/>
    </xf>
    <xf numFmtId="0" fontId="37" fillId="72" borderId="46" xfId="34" applyFont="1" applyFill="1" applyBorder="1" applyAlignment="1" applyProtection="1">
      <alignment horizontal="left" vertical="center" indent="1"/>
      <protection hidden="1"/>
    </xf>
    <xf numFmtId="14" fontId="37" fillId="13" borderId="10" xfId="34" applyNumberFormat="1" applyFont="1" applyFill="1" applyBorder="1" applyAlignment="1" applyProtection="1">
      <alignment horizontal="center" vertical="center"/>
      <protection locked="0" hidden="1"/>
    </xf>
    <xf numFmtId="0" fontId="47" fillId="72" borderId="114" xfId="34" applyFont="1" applyFill="1" applyBorder="1" applyAlignment="1" applyProtection="1">
      <alignment horizontal="center" vertical="center" wrapText="1"/>
      <protection hidden="1"/>
    </xf>
    <xf numFmtId="0" fontId="47" fillId="72" borderId="115" xfId="34" applyFont="1" applyFill="1" applyBorder="1" applyAlignment="1" applyProtection="1">
      <alignment horizontal="center" vertical="center" wrapText="1"/>
      <protection hidden="1"/>
    </xf>
    <xf numFmtId="0" fontId="47" fillId="72" borderId="116" xfId="34" applyFont="1" applyFill="1" applyBorder="1" applyAlignment="1" applyProtection="1">
      <alignment horizontal="center" vertical="center" wrapText="1"/>
      <protection hidden="1"/>
    </xf>
    <xf numFmtId="0" fontId="32" fillId="0" borderId="72" xfId="0" applyFont="1" applyBorder="1" applyAlignment="1">
      <alignment horizontal="center" vertical="center" wrapText="1"/>
    </xf>
    <xf numFmtId="0" fontId="0" fillId="0" borderId="0" xfId="0" applyFont="1" applyBorder="1" applyAlignment="1">
      <alignment vertical="center" wrapText="1"/>
    </xf>
    <xf numFmtId="0" fontId="47" fillId="0" borderId="56" xfId="0" applyFont="1" applyBorder="1" applyAlignment="1">
      <alignment horizontal="center" wrapText="1"/>
    </xf>
    <xf numFmtId="0" fontId="47" fillId="0" borderId="24" xfId="0" applyFont="1" applyBorder="1" applyAlignment="1">
      <alignment horizontal="center" wrapText="1"/>
    </xf>
    <xf numFmtId="0" fontId="47" fillId="0" borderId="26" xfId="0" applyFont="1" applyBorder="1" applyAlignment="1">
      <alignment horizontal="center" wrapText="1"/>
    </xf>
    <xf numFmtId="0" fontId="47" fillId="0" borderId="56" xfId="0" applyFont="1" applyFill="1" applyBorder="1" applyAlignment="1">
      <alignment horizontal="center" vertical="center" wrapText="1"/>
    </xf>
    <xf numFmtId="0" fontId="28" fillId="0" borderId="39" xfId="0" applyFont="1" applyBorder="1" applyAlignment="1">
      <alignment horizontal="center" vertical="top" wrapText="1"/>
    </xf>
    <xf numFmtId="0" fontId="26" fillId="0" borderId="0" xfId="0" applyFont="1" applyBorder="1" applyAlignment="1">
      <alignment wrapText="1"/>
    </xf>
    <xf numFmtId="0" fontId="33" fillId="0" borderId="0" xfId="0" applyFont="1" applyBorder="1" applyAlignment="1">
      <alignment vertical="top" wrapText="1"/>
    </xf>
    <xf numFmtId="0" fontId="26" fillId="0" borderId="95" xfId="0" applyFont="1" applyBorder="1" applyAlignment="1">
      <alignment horizontal="left" wrapText="1"/>
    </xf>
    <xf numFmtId="0" fontId="26" fillId="0" borderId="43" xfId="0" applyFont="1" applyBorder="1" applyAlignment="1">
      <alignment horizontal="left" wrapText="1"/>
    </xf>
    <xf numFmtId="0" fontId="26" fillId="0" borderId="60" xfId="0" applyFont="1" applyBorder="1" applyAlignment="1">
      <alignment horizontal="left" wrapText="1"/>
    </xf>
    <xf numFmtId="0" fontId="0" fillId="0" borderId="64"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Font="1" applyBorder="1" applyAlignment="1">
      <alignment horizontal="left" vertical="center" wrapText="1"/>
    </xf>
    <xf numFmtId="0" fontId="128" fillId="0" borderId="10" xfId="0" applyFont="1" applyBorder="1" applyAlignment="1">
      <alignment horizontal="left" vertical="center" wrapText="1"/>
    </xf>
    <xf numFmtId="0" fontId="38" fillId="0" borderId="222" xfId="34" applyFont="1" applyBorder="1" applyAlignment="1">
      <alignment horizontal="left" vertical="center" wrapText="1"/>
    </xf>
    <xf numFmtId="0" fontId="38" fillId="0" borderId="196" xfId="34" applyFont="1" applyBorder="1" applyAlignment="1">
      <alignment horizontal="left" vertical="center" wrapText="1"/>
    </xf>
    <xf numFmtId="0" fontId="38" fillId="0" borderId="191" xfId="34" applyFont="1" applyBorder="1" applyAlignment="1">
      <alignment horizontal="left" vertical="center" wrapText="1"/>
    </xf>
    <xf numFmtId="0" fontId="162" fillId="0" borderId="100" xfId="0" applyFont="1" applyBorder="1" applyAlignment="1">
      <alignment horizontal="left" vertical="top" wrapText="1"/>
    </xf>
    <xf numFmtId="0" fontId="162" fillId="0" borderId="194" xfId="0" applyFont="1" applyBorder="1" applyAlignment="1">
      <alignment horizontal="left" vertical="top" wrapText="1"/>
    </xf>
    <xf numFmtId="0" fontId="164" fillId="70" borderId="100" xfId="0" applyFont="1" applyFill="1" applyBorder="1" applyAlignment="1">
      <alignment horizontal="center" vertical="top" wrapText="1"/>
    </xf>
    <xf numFmtId="0" fontId="166" fillId="70" borderId="194" xfId="0" applyFont="1" applyFill="1" applyBorder="1" applyAlignment="1">
      <alignment horizontal="center" vertical="top" wrapText="1"/>
    </xf>
    <xf numFmtId="0" fontId="160" fillId="71" borderId="103" xfId="0" applyFont="1" applyFill="1" applyBorder="1" applyAlignment="1">
      <alignment horizontal="center" vertical="center" wrapText="1"/>
    </xf>
    <xf numFmtId="0" fontId="165" fillId="39" borderId="103" xfId="0" applyFont="1" applyFill="1" applyBorder="1" applyAlignment="1">
      <alignment horizontal="center" vertical="center" wrapText="1"/>
    </xf>
    <xf numFmtId="0" fontId="27" fillId="39" borderId="100" xfId="0" applyFont="1" applyFill="1" applyBorder="1" applyAlignment="1">
      <alignment horizontal="center" vertical="center" wrapText="1"/>
    </xf>
    <xf numFmtId="0" fontId="27" fillId="39" borderId="205" xfId="0" applyFont="1" applyFill="1" applyBorder="1" applyAlignment="1">
      <alignment horizontal="center" vertical="center" wrapText="1"/>
    </xf>
    <xf numFmtId="0" fontId="38" fillId="0" borderId="189" xfId="34" applyFont="1" applyBorder="1" applyAlignment="1">
      <alignment horizontal="left" vertical="center" wrapText="1"/>
    </xf>
    <xf numFmtId="0" fontId="38" fillId="0" borderId="0" xfId="34" applyFont="1" applyBorder="1" applyAlignment="1">
      <alignment horizontal="left" vertical="center"/>
    </xf>
    <xf numFmtId="0" fontId="38" fillId="0" borderId="190" xfId="34" applyFont="1" applyBorder="1" applyAlignment="1">
      <alignment horizontal="left" vertical="center"/>
    </xf>
    <xf numFmtId="0" fontId="79" fillId="39" borderId="100" xfId="34" applyFont="1" applyFill="1" applyBorder="1" applyAlignment="1">
      <alignment horizontal="center" vertical="center"/>
    </xf>
    <xf numFmtId="0" fontId="79" fillId="39" borderId="125" xfId="34" applyFont="1" applyFill="1" applyBorder="1" applyAlignment="1">
      <alignment horizontal="center" vertical="center"/>
    </xf>
    <xf numFmtId="0" fontId="79" fillId="39" borderId="194" xfId="34" applyFont="1" applyFill="1" applyBorder="1" applyAlignment="1">
      <alignment horizontal="center" vertical="center"/>
    </xf>
    <xf numFmtId="0" fontId="23" fillId="0" borderId="197" xfId="34" applyFont="1" applyBorder="1" applyAlignment="1">
      <alignment horizontal="center" vertical="center"/>
    </xf>
    <xf numFmtId="0" fontId="23" fillId="0" borderId="193" xfId="34" applyFont="1" applyBorder="1" applyAlignment="1">
      <alignment horizontal="center" vertical="center"/>
    </xf>
    <xf numFmtId="0" fontId="23" fillId="0" borderId="198" xfId="34" applyFont="1" applyBorder="1" applyAlignment="1">
      <alignment horizontal="center" vertical="center"/>
    </xf>
    <xf numFmtId="0" fontId="45" fillId="39" borderId="100" xfId="0" applyFont="1" applyFill="1" applyBorder="1" applyAlignment="1">
      <alignment horizontal="center" vertical="center"/>
    </xf>
    <xf numFmtId="0" fontId="45" fillId="39" borderId="125" xfId="0" applyFont="1" applyFill="1" applyBorder="1" applyAlignment="1">
      <alignment horizontal="center" vertical="center"/>
    </xf>
    <xf numFmtId="0" fontId="45" fillId="39" borderId="194" xfId="0" applyFont="1" applyFill="1" applyBorder="1" applyAlignment="1">
      <alignment horizontal="center" vertical="center"/>
    </xf>
    <xf numFmtId="0" fontId="38" fillId="0" borderId="0" xfId="34" applyFont="1" applyBorder="1" applyAlignment="1">
      <alignment horizontal="left" vertical="center" wrapText="1"/>
    </xf>
    <xf numFmtId="0" fontId="38" fillId="0" borderId="190" xfId="34" applyFont="1" applyBorder="1" applyAlignment="1">
      <alignment horizontal="left" vertical="center" wrapText="1"/>
    </xf>
    <xf numFmtId="0" fontId="38" fillId="0" borderId="0" xfId="0" applyFont="1" applyAlignment="1">
      <alignment horizontal="left" vertical="center" wrapText="1"/>
    </xf>
    <xf numFmtId="0" fontId="160" fillId="0" borderId="223" xfId="0" applyFont="1" applyBorder="1" applyAlignment="1">
      <alignment horizontal="left" vertical="top" wrapText="1"/>
    </xf>
    <xf numFmtId="0" fontId="189" fillId="0" borderId="0" xfId="139" applyFont="1" applyAlignment="1"/>
    <xf numFmtId="0" fontId="190" fillId="0" borderId="0" xfId="139" applyFont="1" applyAlignment="1"/>
    <xf numFmtId="0" fontId="47" fillId="0" borderId="0" xfId="139" applyFont="1" applyBorder="1" applyAlignment="1"/>
    <xf numFmtId="0" fontId="188" fillId="0" borderId="0" xfId="139" applyBorder="1" applyAlignment="1"/>
    <xf numFmtId="0" fontId="188" fillId="0" borderId="0" xfId="139"/>
    <xf numFmtId="0" fontId="191" fillId="0" borderId="0" xfId="139" applyFont="1" applyAlignment="1"/>
    <xf numFmtId="0" fontId="188" fillId="0" borderId="0" xfId="139" applyAlignment="1"/>
    <xf numFmtId="0" fontId="47" fillId="0" borderId="0" xfId="139" applyFont="1" applyBorder="1" applyAlignment="1"/>
    <xf numFmtId="0" fontId="188" fillId="0" borderId="0" xfId="139" applyBorder="1" applyAlignment="1"/>
    <xf numFmtId="0" fontId="129" fillId="0" borderId="422" xfId="139" applyFont="1" applyBorder="1" applyAlignment="1">
      <alignment horizontal="left" vertical="center"/>
    </xf>
    <xf numFmtId="0" fontId="188" fillId="0" borderId="423" xfId="139" applyBorder="1" applyAlignment="1"/>
    <xf numFmtId="0" fontId="188" fillId="0" borderId="424" xfId="139" applyBorder="1" applyAlignment="1"/>
    <xf numFmtId="0" fontId="188" fillId="0" borderId="0" xfId="139" applyBorder="1" applyAlignment="1">
      <alignment vertical="top"/>
    </xf>
    <xf numFmtId="0" fontId="188" fillId="0" borderId="425" xfId="139" applyBorder="1" applyAlignment="1">
      <alignment horizontal="center" vertical="top"/>
    </xf>
    <xf numFmtId="0" fontId="188" fillId="0" borderId="426" xfId="139" applyBorder="1" applyAlignment="1">
      <alignment horizontal="center" vertical="top"/>
    </xf>
    <xf numFmtId="0" fontId="188" fillId="0" borderId="427" xfId="139" applyBorder="1" applyAlignment="1">
      <alignment horizontal="center" vertical="top"/>
    </xf>
    <xf numFmtId="0" fontId="192" fillId="0" borderId="0" xfId="139" applyFont="1" applyBorder="1" applyAlignment="1">
      <alignment vertical="center" wrapText="1"/>
    </xf>
    <xf numFmtId="0" fontId="188" fillId="0" borderId="0" xfId="139" applyBorder="1" applyAlignment="1">
      <alignment horizontal="left" vertical="center"/>
    </xf>
    <xf numFmtId="0" fontId="188" fillId="0" borderId="0" xfId="139" applyBorder="1"/>
    <xf numFmtId="0" fontId="193" fillId="0" borderId="0" xfId="139" applyFont="1" applyBorder="1" applyAlignment="1">
      <alignment vertical="justify" wrapText="1"/>
    </xf>
    <xf numFmtId="0" fontId="193" fillId="0" borderId="0" xfId="139" applyFont="1" applyBorder="1" applyAlignment="1">
      <alignment horizontal="left" vertical="justify" wrapText="1"/>
    </xf>
    <xf numFmtId="0" fontId="188" fillId="0" borderId="0" xfId="139" applyBorder="1" applyAlignment="1">
      <alignment horizontal="center" vertical="center"/>
    </xf>
    <xf numFmtId="0" fontId="188" fillId="0" borderId="0" xfId="139" applyBorder="1" applyAlignment="1">
      <alignment horizontal="center" vertical="center"/>
    </xf>
    <xf numFmtId="0" fontId="188" fillId="0" borderId="428" xfId="139" applyBorder="1" applyAlignment="1">
      <alignment horizontal="left" vertical="center"/>
    </xf>
    <xf numFmtId="0" fontId="188" fillId="0" borderId="429" xfId="139" applyBorder="1" applyAlignment="1">
      <alignment horizontal="left"/>
    </xf>
    <xf numFmtId="0" fontId="188" fillId="0" borderId="430" xfId="139" applyBorder="1" applyAlignment="1">
      <alignment horizontal="left"/>
    </xf>
    <xf numFmtId="0" fontId="188" fillId="0" borderId="431" xfId="139" applyBorder="1" applyAlignment="1">
      <alignment horizontal="center" vertical="top"/>
    </xf>
    <xf numFmtId="0" fontId="188" fillId="0" borderId="0" xfId="139" applyBorder="1" applyAlignment="1">
      <alignment horizontal="center" vertical="top"/>
    </xf>
    <xf numFmtId="0" fontId="188" fillId="0" borderId="144" xfId="139" applyBorder="1" applyAlignment="1">
      <alignment horizontal="center" vertical="top"/>
    </xf>
    <xf numFmtId="0" fontId="129" fillId="0" borderId="432" xfId="139" applyFont="1" applyBorder="1" applyAlignment="1">
      <alignment horizontal="left" vertical="center"/>
    </xf>
    <xf numFmtId="0" fontId="188" fillId="0" borderId="433" xfId="139" applyBorder="1" applyAlignment="1"/>
    <xf numFmtId="0" fontId="188" fillId="0" borderId="434" xfId="139" applyBorder="1" applyAlignment="1"/>
    <xf numFmtId="0" fontId="78" fillId="0" borderId="0" xfId="139" applyFont="1" applyBorder="1" applyAlignment="1">
      <alignment vertical="center"/>
    </xf>
    <xf numFmtId="0" fontId="62" fillId="0" borderId="0" xfId="139" applyFont="1" applyBorder="1" applyAlignment="1">
      <alignment horizontal="left" vertical="center"/>
    </xf>
    <xf numFmtId="0" fontId="28" fillId="0" borderId="422" xfId="139" applyFont="1" applyBorder="1" applyAlignment="1">
      <alignment horizontal="left" vertical="center"/>
    </xf>
    <xf numFmtId="0" fontId="188" fillId="0" borderId="0" xfId="139" applyBorder="1" applyAlignment="1">
      <alignment horizontal="left" vertical="center"/>
    </xf>
    <xf numFmtId="0" fontId="28" fillId="0" borderId="428" xfId="139" applyFont="1" applyBorder="1" applyAlignment="1">
      <alignment horizontal="left" vertical="center"/>
    </xf>
    <xf numFmtId="0" fontId="188" fillId="0" borderId="429" xfId="139" applyBorder="1" applyAlignment="1"/>
    <xf numFmtId="0" fontId="188" fillId="0" borderId="430" xfId="139" applyBorder="1" applyAlignment="1"/>
    <xf numFmtId="0" fontId="28" fillId="0" borderId="432" xfId="139" applyFont="1" applyBorder="1" applyAlignment="1">
      <alignment horizontal="left" vertical="center"/>
    </xf>
    <xf numFmtId="0" fontId="188" fillId="0" borderId="150" xfId="139" applyBorder="1" applyAlignment="1">
      <alignment horizontal="center" vertical="top"/>
    </xf>
    <xf numFmtId="0" fontId="188" fillId="0" borderId="128" xfId="139" applyBorder="1" applyAlignment="1">
      <alignment horizontal="center" vertical="top"/>
    </xf>
    <xf numFmtId="0" fontId="188" fillId="0" borderId="435" xfId="139" applyBorder="1" applyAlignment="1">
      <alignment horizontal="center" vertical="top"/>
    </xf>
    <xf numFmtId="0" fontId="28" fillId="0" borderId="0" xfId="139" applyFont="1" applyFill="1" applyBorder="1" applyAlignment="1">
      <alignment horizontal="center" vertical="center"/>
    </xf>
    <xf numFmtId="0" fontId="188" fillId="0" borderId="0" xfId="139" applyAlignment="1"/>
    <xf numFmtId="0" fontId="193" fillId="0" borderId="0" xfId="139" applyFont="1" applyBorder="1" applyAlignment="1">
      <alignment horizontal="left" vertical="justify" wrapText="1"/>
    </xf>
    <xf numFmtId="0" fontId="188" fillId="0" borderId="0" xfId="139" applyBorder="1" applyAlignment="1">
      <alignment horizontal="left" vertical="justify" wrapText="1"/>
    </xf>
    <xf numFmtId="0" fontId="188" fillId="0" borderId="436" xfId="139" applyBorder="1" applyAlignment="1">
      <alignment horizontal="center" vertical="center" textRotation="90" wrapText="1"/>
    </xf>
    <xf numFmtId="0" fontId="188" fillId="0" borderId="437" xfId="139" applyBorder="1" applyAlignment="1">
      <alignment horizontal="center" vertical="center"/>
    </xf>
    <xf numFmtId="0" fontId="188" fillId="0" borderId="438" xfId="139" applyBorder="1" applyAlignment="1">
      <alignment horizontal="center" vertical="center"/>
    </xf>
    <xf numFmtId="0" fontId="188" fillId="0" borderId="439" xfId="139" applyBorder="1" applyAlignment="1">
      <alignment horizontal="center" vertical="center"/>
    </xf>
    <xf numFmtId="0" fontId="188" fillId="0" borderId="425" xfId="139" applyBorder="1" applyAlignment="1">
      <alignment horizontal="center" vertical="center" wrapText="1"/>
    </xf>
    <xf numFmtId="0" fontId="188" fillId="0" borderId="427" xfId="139" applyBorder="1" applyAlignment="1"/>
    <xf numFmtId="0" fontId="188" fillId="0" borderId="440" xfId="139" applyBorder="1" applyAlignment="1">
      <alignment horizontal="center" vertical="center" wrapText="1"/>
    </xf>
    <xf numFmtId="0" fontId="188" fillId="0" borderId="441" xfId="139" applyBorder="1" applyAlignment="1">
      <alignment horizontal="center" vertical="center" wrapText="1"/>
    </xf>
    <xf numFmtId="0" fontId="188" fillId="0" borderId="442" xfId="139" applyBorder="1" applyAlignment="1">
      <alignment horizontal="center" vertical="center" wrapText="1"/>
    </xf>
    <xf numFmtId="0" fontId="188" fillId="0" borderId="440" xfId="139" applyFont="1" applyBorder="1" applyAlignment="1">
      <alignment horizontal="center" vertical="center" wrapText="1"/>
    </xf>
    <xf numFmtId="0" fontId="188" fillId="0" borderId="441" xfId="139" applyBorder="1" applyAlignment="1">
      <alignment wrapText="1"/>
    </xf>
    <xf numFmtId="0" fontId="188" fillId="0" borderId="442" xfId="139" applyBorder="1" applyAlignment="1">
      <alignment wrapText="1"/>
    </xf>
    <xf numFmtId="0" fontId="188" fillId="0" borderId="130" xfId="139" applyBorder="1" applyAlignment="1">
      <alignment horizontal="center" vertical="center" wrapText="1"/>
    </xf>
    <xf numFmtId="0" fontId="188" fillId="0" borderId="427" xfId="139" applyBorder="1" applyAlignment="1">
      <alignment horizontal="center" vertical="center" wrapText="1"/>
    </xf>
    <xf numFmtId="0" fontId="188" fillId="0" borderId="443" xfId="139" applyBorder="1" applyAlignment="1">
      <alignment horizontal="center" vertical="center" textRotation="90" wrapText="1"/>
    </xf>
    <xf numFmtId="0" fontId="188" fillId="0" borderId="444" xfId="139" applyBorder="1" applyAlignment="1">
      <alignment horizontal="center" vertical="center"/>
    </xf>
    <xf numFmtId="0" fontId="188" fillId="0" borderId="445" xfId="139" applyBorder="1" applyAlignment="1">
      <alignment horizontal="center" vertical="center"/>
    </xf>
    <xf numFmtId="0" fontId="188" fillId="0" borderId="446" xfId="139" applyBorder="1" applyAlignment="1">
      <alignment horizontal="center" vertical="center"/>
    </xf>
    <xf numFmtId="0" fontId="188" fillId="0" borderId="431" xfId="139" applyBorder="1" applyAlignment="1">
      <alignment horizontal="center" vertical="center" wrapText="1"/>
    </xf>
    <xf numFmtId="0" fontId="188" fillId="0" borderId="144" xfId="139" applyBorder="1" applyAlignment="1"/>
    <xf numFmtId="0" fontId="188" fillId="0" borderId="437" xfId="139" applyBorder="1" applyAlignment="1">
      <alignment horizontal="center" vertical="center" wrapText="1"/>
    </xf>
    <xf numFmtId="0" fontId="188" fillId="0" borderId="438" xfId="139" applyBorder="1" applyAlignment="1">
      <alignment horizontal="center" vertical="center" wrapText="1"/>
    </xf>
    <xf numFmtId="0" fontId="188" fillId="0" borderId="447" xfId="139" applyBorder="1" applyAlignment="1">
      <alignment horizontal="center" vertical="center" wrapText="1"/>
    </xf>
    <xf numFmtId="0" fontId="188" fillId="0" borderId="448" xfId="139" applyBorder="1" applyAlignment="1">
      <alignment horizontal="center" vertical="center" wrapText="1"/>
    </xf>
    <xf numFmtId="0" fontId="188" fillId="0" borderId="449" xfId="139" applyBorder="1" applyAlignment="1">
      <alignment horizontal="center" vertical="center" textRotation="90" wrapText="1"/>
    </xf>
    <xf numFmtId="0" fontId="188" fillId="0" borderId="450" xfId="139" applyBorder="1" applyAlignment="1">
      <alignment horizontal="center" vertical="center"/>
    </xf>
    <xf numFmtId="0" fontId="188" fillId="0" borderId="451" xfId="139" applyBorder="1" applyAlignment="1">
      <alignment horizontal="center" vertical="center"/>
    </xf>
    <xf numFmtId="0" fontId="188" fillId="0" borderId="452" xfId="139" applyBorder="1" applyAlignment="1">
      <alignment horizontal="center" vertical="center"/>
    </xf>
    <xf numFmtId="0" fontId="188" fillId="0" borderId="450" xfId="139" applyBorder="1" applyAlignment="1">
      <alignment horizontal="center" vertical="center" wrapText="1"/>
    </xf>
    <xf numFmtId="0" fontId="188" fillId="0" borderId="451" xfId="139" applyBorder="1" applyAlignment="1">
      <alignment horizontal="center" vertical="center" wrapText="1"/>
    </xf>
    <xf numFmtId="0" fontId="188" fillId="0" borderId="453" xfId="139" applyBorder="1" applyAlignment="1">
      <alignment horizontal="center" vertical="center" wrapText="1"/>
    </xf>
    <xf numFmtId="0" fontId="188" fillId="0" borderId="454" xfId="139" applyBorder="1" applyAlignment="1">
      <alignment horizontal="center" vertical="center" wrapText="1"/>
    </xf>
    <xf numFmtId="0" fontId="188" fillId="0" borderId="455" xfId="139" applyBorder="1" applyAlignment="1">
      <alignment horizontal="center" vertical="center" wrapText="1"/>
    </xf>
    <xf numFmtId="0" fontId="188" fillId="0" borderId="456" xfId="139" applyBorder="1" applyAlignment="1">
      <alignment horizontal="center"/>
    </xf>
    <xf numFmtId="0" fontId="188" fillId="0" borderId="457" xfId="139" applyBorder="1" applyAlignment="1">
      <alignment horizontal="center"/>
    </xf>
    <xf numFmtId="0" fontId="188" fillId="0" borderId="438" xfId="139" applyBorder="1" applyAlignment="1">
      <alignment horizontal="center"/>
    </xf>
    <xf numFmtId="0" fontId="188" fillId="0" borderId="439" xfId="139" applyBorder="1" applyAlignment="1">
      <alignment horizontal="center"/>
    </xf>
    <xf numFmtId="2" fontId="188" fillId="0" borderId="437" xfId="139" applyNumberFormat="1" applyBorder="1" applyAlignment="1">
      <alignment horizontal="center" wrapText="1"/>
    </xf>
    <xf numFmtId="2" fontId="188" fillId="0" borderId="447" xfId="139" applyNumberFormat="1" applyBorder="1" applyAlignment="1">
      <alignment horizontal="center" wrapText="1"/>
    </xf>
    <xf numFmtId="177" fontId="188" fillId="0" borderId="458" xfId="139" applyNumberFormat="1" applyBorder="1" applyAlignment="1">
      <alignment horizontal="left" wrapText="1"/>
    </xf>
    <xf numFmtId="177" fontId="188" fillId="0" borderId="459" xfId="139" applyNumberFormat="1" applyBorder="1" applyAlignment="1">
      <alignment horizontal="left" wrapText="1"/>
    </xf>
    <xf numFmtId="177" fontId="188" fillId="0" borderId="438" xfId="139" applyNumberFormat="1" applyBorder="1" applyAlignment="1">
      <alignment horizontal="left" wrapText="1"/>
    </xf>
    <xf numFmtId="177" fontId="188" fillId="0" borderId="447" xfId="139" applyNumberFormat="1" applyBorder="1" applyAlignment="1">
      <alignment horizontal="left" wrapText="1"/>
    </xf>
    <xf numFmtId="177" fontId="188" fillId="0" borderId="460" xfId="139" applyNumberFormat="1" applyBorder="1" applyAlignment="1">
      <alignment horizontal="left" wrapText="1"/>
    </xf>
    <xf numFmtId="0" fontId="188" fillId="0" borderId="437" xfId="139" applyBorder="1" applyAlignment="1">
      <alignment horizontal="center" vertical="top"/>
    </xf>
    <xf numFmtId="0" fontId="188" fillId="0" borderId="438" xfId="139" applyBorder="1" applyAlignment="1">
      <alignment horizontal="center" vertical="top"/>
    </xf>
    <xf numFmtId="0" fontId="188" fillId="0" borderId="438" xfId="139" applyBorder="1" applyAlignment="1">
      <alignment horizontal="center" vertical="justify" wrapText="1"/>
    </xf>
    <xf numFmtId="0" fontId="188" fillId="0" borderId="447" xfId="139" applyBorder="1" applyAlignment="1">
      <alignment horizontal="center" vertical="justify" wrapText="1"/>
    </xf>
    <xf numFmtId="0" fontId="188" fillId="0" borderId="461" xfId="139" applyBorder="1" applyAlignment="1">
      <alignment horizontal="center"/>
    </xf>
    <xf numFmtId="0" fontId="188" fillId="0" borderId="462" xfId="139" applyBorder="1" applyAlignment="1">
      <alignment horizontal="center"/>
    </xf>
    <xf numFmtId="0" fontId="188" fillId="0" borderId="445" xfId="139" applyBorder="1" applyAlignment="1">
      <alignment horizontal="center"/>
    </xf>
    <xf numFmtId="0" fontId="188" fillId="0" borderId="446" xfId="139" applyBorder="1" applyAlignment="1">
      <alignment horizontal="center"/>
    </xf>
    <xf numFmtId="0" fontId="188" fillId="0" borderId="444" xfId="139" applyBorder="1" applyAlignment="1">
      <alignment horizontal="center" wrapText="1"/>
    </xf>
    <xf numFmtId="0" fontId="188" fillId="0" borderId="463" xfId="139" applyBorder="1" applyAlignment="1">
      <alignment horizontal="center" wrapText="1"/>
    </xf>
    <xf numFmtId="177" fontId="188" fillId="0" borderId="445" xfId="139" applyNumberFormat="1" applyBorder="1" applyAlignment="1">
      <alignment horizontal="left" wrapText="1"/>
    </xf>
    <xf numFmtId="177" fontId="188" fillId="0" borderId="463" xfId="139" applyNumberFormat="1" applyBorder="1" applyAlignment="1">
      <alignment horizontal="left" wrapText="1"/>
    </xf>
    <xf numFmtId="0" fontId="188" fillId="0" borderId="444" xfId="139" applyBorder="1" applyAlignment="1">
      <alignment horizontal="center" vertical="top"/>
    </xf>
    <xf numFmtId="0" fontId="188" fillId="0" borderId="445" xfId="139" applyBorder="1" applyAlignment="1">
      <alignment horizontal="center" vertical="top"/>
    </xf>
    <xf numFmtId="0" fontId="188" fillId="0" borderId="445" xfId="139" applyBorder="1" applyAlignment="1">
      <alignment horizontal="center" vertical="justify" wrapText="1"/>
    </xf>
    <xf numFmtId="0" fontId="188" fillId="0" borderId="463" xfId="139" applyBorder="1" applyAlignment="1">
      <alignment horizontal="center" vertical="justify" wrapText="1"/>
    </xf>
    <xf numFmtId="0" fontId="188" fillId="0" borderId="461" xfId="139" applyBorder="1"/>
    <xf numFmtId="177" fontId="188" fillId="0" borderId="464" xfId="139" applyNumberFormat="1" applyBorder="1" applyAlignment="1">
      <alignment horizontal="left" wrapText="1"/>
    </xf>
    <xf numFmtId="0" fontId="188" fillId="0" borderId="465" xfId="139" applyBorder="1"/>
    <xf numFmtId="0" fontId="188" fillId="0" borderId="466" xfId="139" applyBorder="1" applyAlignment="1">
      <alignment horizontal="center"/>
    </xf>
    <xf numFmtId="0" fontId="188" fillId="0" borderId="451" xfId="139" applyBorder="1" applyAlignment="1">
      <alignment horizontal="center"/>
    </xf>
    <xf numFmtId="0" fontId="188" fillId="0" borderId="452" xfId="139" applyBorder="1" applyAlignment="1">
      <alignment horizontal="center"/>
    </xf>
    <xf numFmtId="0" fontId="188" fillId="0" borderId="450" xfId="139" applyBorder="1" applyAlignment="1">
      <alignment horizontal="center" wrapText="1"/>
    </xf>
    <xf numFmtId="0" fontId="188" fillId="0" borderId="453" xfId="139" applyBorder="1" applyAlignment="1">
      <alignment horizontal="center" wrapText="1"/>
    </xf>
    <xf numFmtId="177" fontId="188" fillId="0" borderId="466" xfId="139" applyNumberFormat="1" applyBorder="1" applyAlignment="1">
      <alignment horizontal="left" wrapText="1"/>
    </xf>
    <xf numFmtId="177" fontId="188" fillId="0" borderId="451" xfId="139" applyNumberFormat="1" applyBorder="1" applyAlignment="1">
      <alignment horizontal="left" wrapText="1"/>
    </xf>
    <xf numFmtId="177" fontId="188" fillId="0" borderId="453" xfId="139" applyNumberFormat="1" applyBorder="1" applyAlignment="1">
      <alignment horizontal="left" wrapText="1"/>
    </xf>
    <xf numFmtId="0" fontId="188" fillId="0" borderId="450" xfId="139" applyBorder="1" applyAlignment="1">
      <alignment horizontal="center" vertical="top"/>
    </xf>
    <xf numFmtId="0" fontId="188" fillId="0" borderId="451" xfId="139" applyBorder="1" applyAlignment="1">
      <alignment horizontal="center" vertical="top"/>
    </xf>
    <xf numFmtId="0" fontId="188" fillId="0" borderId="451" xfId="139" applyBorder="1" applyAlignment="1">
      <alignment horizontal="center" vertical="justify" wrapText="1"/>
    </xf>
    <xf numFmtId="0" fontId="188" fillId="0" borderId="453" xfId="139" applyBorder="1" applyAlignment="1">
      <alignment horizontal="center" vertical="justify" wrapText="1"/>
    </xf>
    <xf numFmtId="0" fontId="188" fillId="0" borderId="0" xfId="139" applyBorder="1" applyAlignment="1">
      <alignment vertical="center"/>
    </xf>
    <xf numFmtId="0" fontId="188" fillId="0" borderId="425" xfId="139" applyBorder="1" applyAlignment="1">
      <alignment horizontal="center" vertical="center" textRotation="90"/>
    </xf>
    <xf numFmtId="0" fontId="37" fillId="0" borderId="425" xfId="139" applyFont="1" applyBorder="1" applyAlignment="1">
      <alignment horizontal="center" vertical="center" wrapText="1"/>
    </xf>
    <xf numFmtId="0" fontId="188" fillId="0" borderId="130" xfId="139" applyBorder="1" applyAlignment="1"/>
    <xf numFmtId="0" fontId="188" fillId="0" borderId="0" xfId="139" applyBorder="1" applyAlignment="1">
      <alignment horizontal="center" vertical="center" wrapText="1"/>
    </xf>
    <xf numFmtId="0" fontId="37" fillId="0" borderId="437" xfId="139" applyFont="1" applyBorder="1" applyAlignment="1">
      <alignment horizontal="center" vertical="center" wrapText="1"/>
    </xf>
    <xf numFmtId="0" fontId="188" fillId="0" borderId="438" xfId="139" applyBorder="1" applyAlignment="1"/>
    <xf numFmtId="0" fontId="188" fillId="0" borderId="447" xfId="139" applyBorder="1" applyAlignment="1"/>
    <xf numFmtId="0" fontId="188" fillId="0" borderId="0" xfId="139" applyBorder="1" applyAlignment="1">
      <alignment horizontal="center" vertical="center" wrapText="1"/>
    </xf>
    <xf numFmtId="0" fontId="188" fillId="0" borderId="0" xfId="139" applyFont="1" applyFill="1" applyBorder="1" applyAlignment="1">
      <alignment horizontal="center" vertical="center"/>
    </xf>
    <xf numFmtId="0" fontId="188" fillId="0" borderId="431" xfId="139" applyBorder="1" applyAlignment="1">
      <alignment horizontal="center" vertical="center" textRotation="90"/>
    </xf>
    <xf numFmtId="0" fontId="188" fillId="0" borderId="431" xfId="139" applyBorder="1" applyAlignment="1"/>
    <xf numFmtId="0" fontId="188" fillId="0" borderId="467" xfId="139" applyBorder="1" applyAlignment="1"/>
    <xf numFmtId="0" fontId="188" fillId="0" borderId="468" xfId="139" applyBorder="1" applyAlignment="1"/>
    <xf numFmtId="0" fontId="188" fillId="0" borderId="469" xfId="139" applyBorder="1" applyAlignment="1"/>
    <xf numFmtId="0" fontId="193" fillId="0" borderId="0" xfId="139" applyFont="1" applyFill="1" applyBorder="1" applyAlignment="1">
      <alignment horizontal="center" vertical="center" wrapText="1"/>
    </xf>
    <xf numFmtId="0" fontId="188" fillId="0" borderId="438" xfId="139" applyBorder="1" applyAlignment="1">
      <alignment horizontal="center" vertical="center" textRotation="90" wrapText="1"/>
    </xf>
    <xf numFmtId="0" fontId="188" fillId="0" borderId="470" xfId="139" applyBorder="1" applyAlignment="1">
      <alignment horizontal="center" vertical="center" textRotation="90" wrapText="1"/>
    </xf>
    <xf numFmtId="0" fontId="188" fillId="0" borderId="457" xfId="139" applyBorder="1" applyAlignment="1">
      <alignment horizontal="center" vertical="center" wrapText="1"/>
    </xf>
    <xf numFmtId="0" fontId="188" fillId="0" borderId="0" xfId="139" applyBorder="1" applyAlignment="1">
      <alignment horizontal="center" vertical="center" textRotation="90" wrapText="1"/>
    </xf>
    <xf numFmtId="0" fontId="188" fillId="0" borderId="0" xfId="139" applyFont="1" applyFill="1" applyBorder="1" applyAlignment="1">
      <alignment horizontal="center" vertical="center" wrapText="1"/>
    </xf>
    <xf numFmtId="0" fontId="188" fillId="0" borderId="0" xfId="139" applyFont="1" applyFill="1" applyBorder="1" applyAlignment="1">
      <alignment horizontal="center" vertical="center"/>
    </xf>
    <xf numFmtId="0" fontId="194" fillId="0" borderId="0" xfId="139" applyFont="1" applyFill="1" applyBorder="1" applyAlignment="1">
      <alignment horizontal="center" vertical="center"/>
    </xf>
    <xf numFmtId="0" fontId="188" fillId="0" borderId="467" xfId="139" applyBorder="1" applyAlignment="1">
      <alignment horizontal="center" vertical="center"/>
    </xf>
    <xf numFmtId="0" fontId="188" fillId="0" borderId="468" xfId="139" applyBorder="1" applyAlignment="1">
      <alignment horizontal="center" vertical="center" textRotation="90" wrapText="1"/>
    </xf>
    <xf numFmtId="0" fontId="188" fillId="0" borderId="469" xfId="139" applyBorder="1" applyAlignment="1">
      <alignment horizontal="center" vertical="center" wrapText="1"/>
    </xf>
    <xf numFmtId="0" fontId="188" fillId="0" borderId="465" xfId="139" applyBorder="1" applyAlignment="1">
      <alignment horizontal="center" vertical="center" textRotation="90" wrapText="1"/>
    </xf>
    <xf numFmtId="0" fontId="188" fillId="0" borderId="466" xfId="139" applyBorder="1" applyAlignment="1"/>
    <xf numFmtId="0" fontId="188" fillId="0" borderId="451" xfId="139" applyBorder="1" applyAlignment="1"/>
    <xf numFmtId="0" fontId="188" fillId="0" borderId="453" xfId="139" applyBorder="1" applyAlignment="1"/>
    <xf numFmtId="0" fontId="188" fillId="0" borderId="0" xfId="139" applyFont="1" applyFill="1" applyBorder="1" applyAlignment="1">
      <alignment horizontal="center" vertical="center" wrapText="1"/>
    </xf>
    <xf numFmtId="49" fontId="188" fillId="0" borderId="470" xfId="139" applyNumberFormat="1" applyBorder="1" applyAlignment="1">
      <alignment horizontal="center" vertical="center"/>
    </xf>
    <xf numFmtId="177" fontId="195" fillId="0" borderId="457" xfId="139" applyNumberFormat="1" applyFont="1" applyBorder="1" applyAlignment="1">
      <alignment horizontal="left" vertical="center" wrapText="1"/>
    </xf>
    <xf numFmtId="0" fontId="188" fillId="0" borderId="438" xfId="139" applyBorder="1" applyAlignment="1">
      <alignment horizontal="left" vertical="center" wrapText="1"/>
    </xf>
    <xf numFmtId="0" fontId="188" fillId="0" borderId="439" xfId="139" applyBorder="1" applyAlignment="1">
      <alignment vertical="center" wrapText="1"/>
    </xf>
    <xf numFmtId="0" fontId="188" fillId="0" borderId="471" xfId="139" applyBorder="1" applyAlignment="1">
      <alignment vertical="center" wrapText="1"/>
    </xf>
    <xf numFmtId="0" fontId="188" fillId="0" borderId="457" xfId="139" applyBorder="1" applyAlignment="1">
      <alignment vertical="center" wrapText="1"/>
    </xf>
    <xf numFmtId="0" fontId="195" fillId="0" borderId="457" xfId="139" applyFont="1" applyBorder="1" applyAlignment="1">
      <alignment horizontal="left" vertical="center" wrapText="1"/>
    </xf>
    <xf numFmtId="0" fontId="195" fillId="0" borderId="472" xfId="139" applyFont="1" applyBorder="1" applyAlignment="1">
      <alignment horizontal="left" vertical="center" wrapText="1"/>
    </xf>
    <xf numFmtId="0" fontId="188" fillId="0" borderId="457" xfId="139" applyBorder="1" applyAlignment="1">
      <alignment horizontal="left" vertical="center" wrapText="1"/>
    </xf>
    <xf numFmtId="0" fontId="188" fillId="0" borderId="438" xfId="139" applyBorder="1" applyAlignment="1">
      <alignment horizontal="left" vertical="center" wrapText="1"/>
    </xf>
    <xf numFmtId="0" fontId="188" fillId="0" borderId="447" xfId="139" applyBorder="1" applyAlignment="1">
      <alignment horizontal="left" vertical="center" wrapText="1"/>
    </xf>
    <xf numFmtId="0" fontId="188" fillId="0" borderId="0" xfId="139" applyBorder="1" applyAlignment="1">
      <alignment horizontal="left" vertical="center" wrapText="1"/>
    </xf>
    <xf numFmtId="1" fontId="188" fillId="0" borderId="470" xfId="139" applyNumberFormat="1" applyBorder="1" applyAlignment="1">
      <alignment horizontal="center" vertical="center" wrapText="1"/>
    </xf>
    <xf numFmtId="177" fontId="188" fillId="0" borderId="437" xfId="139" applyNumberFormat="1" applyBorder="1" applyAlignment="1">
      <alignment horizontal="left" vertical="center" wrapText="1"/>
    </xf>
    <xf numFmtId="177" fontId="188" fillId="0" borderId="438" xfId="139" applyNumberFormat="1" applyBorder="1" applyAlignment="1"/>
    <xf numFmtId="0" fontId="188" fillId="0" borderId="0" xfId="139" applyBorder="1" applyAlignment="1">
      <alignment horizontal="left" vertical="center" wrapText="1"/>
    </xf>
    <xf numFmtId="178" fontId="188" fillId="0" borderId="0" xfId="139" applyNumberFormat="1" applyFont="1" applyFill="1" applyBorder="1" applyAlignment="1">
      <alignment horizontal="center" vertical="center" wrapText="1"/>
    </xf>
    <xf numFmtId="0" fontId="188" fillId="0" borderId="0" xfId="139" applyFont="1" applyFill="1" applyBorder="1" applyAlignment="1">
      <alignment horizontal="left" vertical="center" wrapText="1"/>
    </xf>
    <xf numFmtId="0" fontId="188" fillId="0" borderId="0" xfId="139" applyFont="1" applyFill="1" applyBorder="1" applyAlignment="1">
      <alignment horizontal="left" vertical="center" wrapText="1"/>
    </xf>
    <xf numFmtId="49" fontId="188" fillId="0" borderId="461" xfId="139" applyNumberFormat="1" applyBorder="1" applyAlignment="1">
      <alignment horizontal="center" vertical="center"/>
    </xf>
    <xf numFmtId="177" fontId="195" fillId="0" borderId="462" xfId="139" applyNumberFormat="1" applyFont="1" applyBorder="1" applyAlignment="1">
      <alignment horizontal="left" vertical="center" wrapText="1"/>
    </xf>
    <xf numFmtId="0" fontId="188" fillId="0" borderId="445" xfId="139" applyBorder="1" applyAlignment="1">
      <alignment horizontal="left" vertical="center" wrapText="1"/>
    </xf>
    <xf numFmtId="2" fontId="188" fillId="0" borderId="446" xfId="139" applyNumberFormat="1" applyBorder="1" applyAlignment="1">
      <alignment vertical="center" wrapText="1"/>
    </xf>
    <xf numFmtId="2" fontId="188" fillId="0" borderId="473" xfId="139" applyNumberFormat="1" applyBorder="1" applyAlignment="1">
      <alignment vertical="center" wrapText="1"/>
    </xf>
    <xf numFmtId="2" fontId="188" fillId="0" borderId="462" xfId="139" applyNumberFormat="1" applyBorder="1" applyAlignment="1">
      <alignment vertical="center" wrapText="1"/>
    </xf>
    <xf numFmtId="0" fontId="195" fillId="0" borderId="462" xfId="139" applyFont="1" applyBorder="1" applyAlignment="1">
      <alignment horizontal="left" vertical="center" wrapText="1"/>
    </xf>
    <xf numFmtId="0" fontId="195" fillId="0" borderId="474" xfId="139" applyFont="1" applyBorder="1" applyAlignment="1">
      <alignment horizontal="left" vertical="center" wrapText="1"/>
    </xf>
    <xf numFmtId="0" fontId="188" fillId="0" borderId="462" xfId="139" applyBorder="1" applyAlignment="1">
      <alignment horizontal="left" vertical="center" wrapText="1"/>
    </xf>
    <xf numFmtId="0" fontId="188" fillId="0" borderId="445" xfId="139" applyBorder="1" applyAlignment="1">
      <alignment horizontal="left" vertical="center" wrapText="1"/>
    </xf>
    <xf numFmtId="0" fontId="188" fillId="0" borderId="463" xfId="139" applyBorder="1" applyAlignment="1">
      <alignment horizontal="left" vertical="center" wrapText="1"/>
    </xf>
    <xf numFmtId="1" fontId="188" fillId="0" borderId="461" xfId="139" applyNumberFormat="1" applyBorder="1" applyAlignment="1">
      <alignment horizontal="center" vertical="center" wrapText="1"/>
    </xf>
    <xf numFmtId="177" fontId="188" fillId="0" borderId="444" xfId="139" applyNumberFormat="1" applyBorder="1" applyAlignment="1">
      <alignment horizontal="left" vertical="center" wrapText="1"/>
    </xf>
    <xf numFmtId="177" fontId="188" fillId="0" borderId="445" xfId="139" applyNumberFormat="1" applyBorder="1" applyAlignment="1"/>
    <xf numFmtId="0" fontId="188" fillId="0" borderId="463" xfId="139" applyBorder="1" applyAlignment="1"/>
    <xf numFmtId="177" fontId="195" fillId="0" borderId="462" xfId="139" applyNumberFormat="1" applyFont="1" applyBorder="1" applyAlignment="1">
      <alignment horizontal="left"/>
    </xf>
    <xf numFmtId="0" fontId="188" fillId="0" borderId="446" xfId="139" applyBorder="1" applyAlignment="1">
      <alignment vertical="center" wrapText="1"/>
    </xf>
    <xf numFmtId="0" fontId="188" fillId="0" borderId="473" xfId="139" applyBorder="1" applyAlignment="1">
      <alignment vertical="center" wrapText="1"/>
    </xf>
    <xf numFmtId="0" fontId="188" fillId="0" borderId="462" xfId="139" applyBorder="1" applyAlignment="1">
      <alignment vertical="center" wrapText="1"/>
    </xf>
    <xf numFmtId="0" fontId="195" fillId="0" borderId="445" xfId="139" applyFont="1" applyBorder="1"/>
    <xf numFmtId="0" fontId="195" fillId="0" borderId="463" xfId="139" applyFont="1" applyBorder="1"/>
    <xf numFmtId="16" fontId="188" fillId="0" borderId="446" xfId="139" applyNumberFormat="1" applyBorder="1" applyAlignment="1">
      <alignment vertical="center" wrapText="1"/>
    </xf>
    <xf numFmtId="16" fontId="188" fillId="0" borderId="473" xfId="139" applyNumberFormat="1" applyBorder="1" applyAlignment="1">
      <alignment vertical="center" wrapText="1"/>
    </xf>
    <xf numFmtId="16" fontId="188" fillId="0" borderId="462" xfId="139" applyNumberFormat="1" applyBorder="1" applyAlignment="1">
      <alignment vertical="center" wrapText="1"/>
    </xf>
    <xf numFmtId="178" fontId="188" fillId="0" borderId="0" xfId="139" applyNumberFormat="1" applyFont="1" applyFill="1" applyBorder="1" applyAlignment="1">
      <alignment horizontal="center" vertical="center" wrapText="1"/>
    </xf>
    <xf numFmtId="49" fontId="188" fillId="0" borderId="461" xfId="139" applyNumberFormat="1" applyFill="1" applyBorder="1" applyAlignment="1">
      <alignment horizontal="center" vertical="center"/>
    </xf>
    <xf numFmtId="1" fontId="188" fillId="0" borderId="461" xfId="139" applyNumberFormat="1" applyBorder="1" applyAlignment="1">
      <alignment horizontal="center" vertical="center" textRotation="90"/>
    </xf>
    <xf numFmtId="177" fontId="188" fillId="0" borderId="444" xfId="139" applyNumberFormat="1" applyBorder="1" applyAlignment="1">
      <alignment horizontal="center" vertical="center" wrapText="1"/>
    </xf>
    <xf numFmtId="177" fontId="188" fillId="0" borderId="445" xfId="139" applyNumberFormat="1" applyBorder="1" applyAlignment="1">
      <alignment horizontal="center" vertical="center" wrapText="1"/>
    </xf>
    <xf numFmtId="0" fontId="188" fillId="0" borderId="463" xfId="139" applyBorder="1" applyAlignment="1">
      <alignment horizontal="center"/>
    </xf>
    <xf numFmtId="178" fontId="195" fillId="0" borderId="462" xfId="139" applyNumberFormat="1" applyFont="1" applyBorder="1" applyAlignment="1">
      <alignment horizontal="left" vertical="center" wrapText="1"/>
    </xf>
    <xf numFmtId="177" fontId="188" fillId="0" borderId="444" xfId="139" applyNumberFormat="1" applyBorder="1" applyAlignment="1">
      <alignment horizontal="center"/>
    </xf>
    <xf numFmtId="177" fontId="188" fillId="0" borderId="445" xfId="139" applyNumberFormat="1" applyBorder="1" applyAlignment="1">
      <alignment horizontal="center"/>
    </xf>
    <xf numFmtId="14" fontId="188" fillId="0" borderId="446" xfId="139" applyNumberFormat="1" applyBorder="1" applyAlignment="1">
      <alignment vertical="center" wrapText="1"/>
    </xf>
    <xf numFmtId="14" fontId="188" fillId="0" borderId="473" xfId="139" applyNumberFormat="1" applyBorder="1" applyAlignment="1">
      <alignment vertical="center" wrapText="1"/>
    </xf>
    <xf numFmtId="14" fontId="188" fillId="0" borderId="462" xfId="139" applyNumberFormat="1" applyBorder="1" applyAlignment="1">
      <alignment vertical="center" wrapText="1"/>
    </xf>
    <xf numFmtId="177" fontId="188" fillId="0" borderId="444" xfId="139" applyNumberFormat="1" applyBorder="1" applyAlignment="1">
      <alignment horizontal="center" vertical="center"/>
    </xf>
    <xf numFmtId="177" fontId="188" fillId="0" borderId="445" xfId="139" applyNumberFormat="1" applyBorder="1" applyAlignment="1">
      <alignment horizontal="center" vertical="center"/>
    </xf>
    <xf numFmtId="0" fontId="188" fillId="0" borderId="445" xfId="139" applyBorder="1" applyAlignment="1">
      <alignment horizontal="center" vertical="center" wrapText="1"/>
    </xf>
    <xf numFmtId="0" fontId="188" fillId="0" borderId="463" xfId="139" applyBorder="1" applyAlignment="1">
      <alignment horizontal="center" vertical="center" wrapText="1"/>
    </xf>
    <xf numFmtId="1" fontId="188" fillId="0" borderId="461" xfId="139" applyNumberFormat="1" applyBorder="1" applyAlignment="1">
      <alignment horizontal="center"/>
    </xf>
    <xf numFmtId="49" fontId="188" fillId="0" borderId="461" xfId="139" applyNumberFormat="1" applyBorder="1"/>
    <xf numFmtId="177" fontId="188" fillId="0" borderId="462" xfId="139" applyNumberFormat="1" applyBorder="1" applyAlignment="1"/>
    <xf numFmtId="0" fontId="188" fillId="0" borderId="463" xfId="139" applyBorder="1" applyAlignment="1">
      <alignment horizontal="left" vertical="center" wrapText="1"/>
    </xf>
    <xf numFmtId="49" fontId="188" fillId="0" borderId="465" xfId="139" applyNumberFormat="1" applyBorder="1"/>
    <xf numFmtId="177" fontId="188" fillId="0" borderId="466" xfId="139" applyNumberFormat="1" applyBorder="1" applyAlignment="1"/>
    <xf numFmtId="0" fontId="188" fillId="0" borderId="451" xfId="139" applyBorder="1" applyAlignment="1">
      <alignment horizontal="left" vertical="center" wrapText="1"/>
    </xf>
    <xf numFmtId="0" fontId="188" fillId="0" borderId="451" xfId="139" applyBorder="1" applyAlignment="1">
      <alignment vertical="center" wrapText="1"/>
    </xf>
    <xf numFmtId="0" fontId="188" fillId="0" borderId="453" xfId="139" applyBorder="1" applyAlignment="1">
      <alignment horizontal="left" vertical="center" wrapText="1"/>
    </xf>
    <xf numFmtId="0" fontId="188" fillId="0" borderId="466" xfId="139" applyBorder="1" applyAlignment="1">
      <alignment horizontal="left" vertical="center" wrapText="1"/>
    </xf>
    <xf numFmtId="0" fontId="188" fillId="0" borderId="451" xfId="139" applyBorder="1" applyAlignment="1">
      <alignment horizontal="left" vertical="center" wrapText="1"/>
    </xf>
    <xf numFmtId="0" fontId="188" fillId="0" borderId="453" xfId="139" applyBorder="1" applyAlignment="1">
      <alignment horizontal="left" vertical="center" wrapText="1"/>
    </xf>
    <xf numFmtId="1" fontId="188" fillId="0" borderId="465" xfId="139" applyNumberFormat="1" applyBorder="1" applyAlignment="1">
      <alignment horizontal="center"/>
    </xf>
    <xf numFmtId="177" fontId="188" fillId="0" borderId="450" xfId="139" applyNumberFormat="1" applyBorder="1" applyAlignment="1">
      <alignment horizontal="center"/>
    </xf>
    <xf numFmtId="177" fontId="188" fillId="0" borderId="451" xfId="139" applyNumberFormat="1" applyBorder="1" applyAlignment="1">
      <alignment horizontal="center"/>
    </xf>
    <xf numFmtId="0" fontId="188" fillId="0" borderId="0" xfId="139" applyBorder="1" applyAlignment="1">
      <alignment horizontal="center"/>
    </xf>
    <xf numFmtId="0" fontId="188" fillId="0" borderId="454" xfId="139" applyBorder="1" applyAlignment="1">
      <alignment horizontal="center" vertical="center" wrapText="1"/>
    </xf>
    <xf numFmtId="49" fontId="188" fillId="0" borderId="436" xfId="139" applyNumberFormat="1" applyBorder="1" applyAlignment="1">
      <alignment horizontal="center" vertical="center" textRotation="90"/>
    </xf>
    <xf numFmtId="0" fontId="188" fillId="0" borderId="436" xfId="139" applyBorder="1" applyAlignment="1">
      <alignment horizontal="center" vertical="center" textRotation="90"/>
    </xf>
    <xf numFmtId="0" fontId="37" fillId="0" borderId="425" xfId="139" applyFont="1" applyBorder="1" applyAlignment="1">
      <alignment horizontal="center" vertical="center"/>
    </xf>
    <xf numFmtId="0" fontId="37" fillId="0" borderId="130" xfId="139" applyFont="1" applyBorder="1" applyAlignment="1">
      <alignment horizontal="center" vertical="center"/>
    </xf>
    <xf numFmtId="0" fontId="37" fillId="0" borderId="427" xfId="139" applyFont="1" applyBorder="1" applyAlignment="1">
      <alignment horizontal="center" vertical="center"/>
    </xf>
    <xf numFmtId="0" fontId="129" fillId="0" borderId="431" xfId="139" applyFont="1" applyBorder="1" applyAlignment="1">
      <alignment vertical="center"/>
    </xf>
    <xf numFmtId="0" fontId="194" fillId="0" borderId="470" xfId="139" applyFont="1" applyBorder="1" applyAlignment="1">
      <alignment horizontal="center" vertical="center" textRotation="90"/>
    </xf>
    <xf numFmtId="49" fontId="188" fillId="0" borderId="443" xfId="139" applyNumberFormat="1" applyBorder="1" applyAlignment="1">
      <alignment horizontal="center" vertical="center" textRotation="90"/>
    </xf>
    <xf numFmtId="0" fontId="188" fillId="0" borderId="475" xfId="139" applyBorder="1" applyAlignment="1"/>
    <xf numFmtId="0" fontId="188" fillId="0" borderId="476" xfId="139" applyBorder="1" applyAlignment="1"/>
    <xf numFmtId="0" fontId="188" fillId="0" borderId="443" xfId="139" applyBorder="1" applyAlignment="1">
      <alignment horizontal="center" vertical="center" textRotation="90"/>
    </xf>
    <xf numFmtId="0" fontId="37" fillId="0" borderId="475" xfId="139" applyFont="1" applyBorder="1" applyAlignment="1">
      <alignment horizontal="center" vertical="center"/>
    </xf>
    <xf numFmtId="0" fontId="37" fillId="0" borderId="454" xfId="139" applyFont="1" applyBorder="1" applyAlignment="1">
      <alignment horizontal="center" vertical="center"/>
    </xf>
    <xf numFmtId="0" fontId="37" fillId="0" borderId="476" xfId="139" applyFont="1" applyBorder="1" applyAlignment="1">
      <alignment horizontal="center" vertical="center"/>
    </xf>
    <xf numFmtId="0" fontId="37" fillId="0" borderId="0" xfId="139" applyFont="1" applyBorder="1" applyAlignment="1">
      <alignment vertical="center"/>
    </xf>
    <xf numFmtId="0" fontId="194" fillId="0" borderId="465" xfId="139" applyFont="1" applyBorder="1" applyAlignment="1">
      <alignment horizontal="center" vertical="center" textRotation="90"/>
    </xf>
    <xf numFmtId="0" fontId="37" fillId="0" borderId="0" xfId="139" applyFont="1" applyBorder="1" applyAlignment="1">
      <alignment horizontal="center" vertical="center"/>
    </xf>
    <xf numFmtId="0" fontId="188" fillId="0" borderId="436" xfId="139" applyBorder="1" applyAlignment="1">
      <alignment horizontal="center" vertical="center"/>
    </xf>
    <xf numFmtId="0" fontId="188" fillId="0" borderId="477" xfId="139" applyBorder="1" applyAlignment="1">
      <alignment horizontal="center" vertical="center"/>
    </xf>
    <xf numFmtId="0" fontId="188" fillId="0" borderId="189" xfId="139" applyBorder="1" applyAlignment="1">
      <alignment horizontal="center" vertical="center" wrapText="1"/>
    </xf>
    <xf numFmtId="0" fontId="188" fillId="0" borderId="443" xfId="139" applyBorder="1" applyAlignment="1">
      <alignment horizontal="center" vertical="center" wrapText="1"/>
    </xf>
    <xf numFmtId="0" fontId="194" fillId="0" borderId="478" xfId="139" applyFont="1" applyBorder="1" applyAlignment="1">
      <alignment vertical="center"/>
    </xf>
    <xf numFmtId="0" fontId="194" fillId="0" borderId="479" xfId="139" applyFont="1" applyBorder="1" applyAlignment="1">
      <alignment vertical="center"/>
    </xf>
    <xf numFmtId="0" fontId="188" fillId="0" borderId="431" xfId="139" applyBorder="1"/>
    <xf numFmtId="49" fontId="188" fillId="0" borderId="456" xfId="139" applyNumberFormat="1" applyBorder="1" applyAlignment="1">
      <alignment horizontal="center" vertical="center"/>
    </xf>
    <xf numFmtId="179" fontId="188" fillId="0" borderId="439" xfId="139" applyNumberFormat="1" applyBorder="1" applyAlignment="1">
      <alignment horizontal="center"/>
    </xf>
    <xf numFmtId="179" fontId="188" fillId="0" borderId="457" xfId="139" applyNumberFormat="1" applyBorder="1" applyAlignment="1">
      <alignment horizontal="center"/>
    </xf>
    <xf numFmtId="0" fontId="188" fillId="0" borderId="438" xfId="139" applyBorder="1" applyAlignment="1">
      <alignment vertical="center"/>
    </xf>
    <xf numFmtId="0" fontId="188" fillId="0" borderId="441" xfId="139" applyBorder="1" applyAlignment="1"/>
    <xf numFmtId="0" fontId="188" fillId="0" borderId="144" xfId="139" applyBorder="1" applyAlignment="1">
      <alignment horizontal="left"/>
    </xf>
    <xf numFmtId="49" fontId="188" fillId="0" borderId="449" xfId="139" applyNumberFormat="1" applyBorder="1" applyAlignment="1">
      <alignment horizontal="center" vertical="center" textRotation="90"/>
    </xf>
    <xf numFmtId="0" fontId="188" fillId="0" borderId="443" xfId="139" applyBorder="1" applyAlignment="1">
      <alignment horizontal="center" vertical="center"/>
    </xf>
    <xf numFmtId="0" fontId="188" fillId="0" borderId="480" xfId="139" applyBorder="1" applyAlignment="1">
      <alignment horizontal="center" vertical="center" wrapText="1"/>
    </xf>
    <xf numFmtId="0" fontId="188" fillId="0" borderId="481" xfId="139" applyBorder="1" applyAlignment="1">
      <alignment horizontal="center" vertical="center" wrapText="1"/>
    </xf>
    <xf numFmtId="0" fontId="188" fillId="0" borderId="449" xfId="139" applyBorder="1" applyAlignment="1">
      <alignment horizontal="center" vertical="center" wrapText="1"/>
    </xf>
    <xf numFmtId="49" fontId="188" fillId="0" borderId="461" xfId="139" applyNumberFormat="1" applyBorder="1" applyAlignment="1">
      <alignment horizontal="center" vertical="center"/>
    </xf>
    <xf numFmtId="0" fontId="196" fillId="0" borderId="462" xfId="139" applyFont="1" applyBorder="1" applyAlignment="1">
      <alignment horizontal="left" vertical="center" shrinkToFit="1"/>
    </xf>
    <xf numFmtId="0" fontId="196" fillId="0" borderId="445" xfId="139" applyFont="1" applyBorder="1" applyAlignment="1">
      <alignment horizontal="left" vertical="center" shrinkToFit="1"/>
    </xf>
    <xf numFmtId="0" fontId="188" fillId="0" borderId="445" xfId="139" applyBorder="1" applyAlignment="1">
      <alignment horizontal="center" vertical="center"/>
    </xf>
    <xf numFmtId="0" fontId="188" fillId="0" borderId="474" xfId="139" applyBorder="1" applyAlignment="1">
      <alignment horizontal="center" vertical="center"/>
    </xf>
    <xf numFmtId="49" fontId="188" fillId="0" borderId="478" xfId="139" applyNumberFormat="1" applyBorder="1" applyAlignment="1">
      <alignment horizontal="center"/>
    </xf>
    <xf numFmtId="0" fontId="188" fillId="0" borderId="437" xfId="139" applyBorder="1"/>
    <xf numFmtId="0" fontId="188" fillId="0" borderId="447" xfId="139" applyBorder="1" applyAlignment="1">
      <alignment horizontal="center"/>
    </xf>
    <xf numFmtId="49" fontId="188" fillId="0" borderId="482" xfId="139" applyNumberFormat="1" applyBorder="1" applyAlignment="1">
      <alignment horizontal="center"/>
    </xf>
    <xf numFmtId="16" fontId="188" fillId="0" borderId="437" xfId="139" applyNumberFormat="1" applyBorder="1"/>
    <xf numFmtId="0" fontId="195" fillId="0" borderId="438" xfId="139" applyFont="1" applyBorder="1" applyAlignment="1">
      <alignment horizontal="left" vertical="center" wrapText="1"/>
    </xf>
    <xf numFmtId="0" fontId="195" fillId="0" borderId="438" xfId="139" applyFont="1" applyBorder="1" applyAlignment="1">
      <alignment horizontal="left" vertical="center" wrapText="1"/>
    </xf>
    <xf numFmtId="0" fontId="195" fillId="0" borderId="447" xfId="139" applyFont="1" applyBorder="1" applyAlignment="1">
      <alignment horizontal="left" vertical="center" wrapText="1"/>
    </xf>
    <xf numFmtId="0" fontId="195" fillId="0" borderId="473" xfId="139" applyFont="1" applyBorder="1" applyAlignment="1">
      <alignment horizontal="left" vertical="center" wrapText="1"/>
    </xf>
    <xf numFmtId="0" fontId="188" fillId="0" borderId="466" xfId="139" applyBorder="1" applyAlignment="1">
      <alignment horizontal="left" vertical="center"/>
    </xf>
    <xf numFmtId="0" fontId="188" fillId="0" borderId="451" xfId="139" applyBorder="1" applyAlignment="1">
      <alignment horizontal="left" vertical="center"/>
    </xf>
    <xf numFmtId="0" fontId="188" fillId="0" borderId="451" xfId="139" applyBorder="1" applyAlignment="1">
      <alignment horizontal="center" vertical="center"/>
    </xf>
    <xf numFmtId="0" fontId="188" fillId="0" borderId="453" xfId="139" applyBorder="1" applyAlignment="1">
      <alignment horizontal="center" vertical="center"/>
    </xf>
    <xf numFmtId="0" fontId="188" fillId="0" borderId="0" xfId="139" applyFill="1" applyBorder="1" applyAlignment="1">
      <alignment horizontal="center" vertical="center"/>
    </xf>
    <xf numFmtId="49" fontId="188" fillId="0" borderId="483" xfId="139" applyNumberFormat="1" applyBorder="1" applyAlignment="1">
      <alignment horizontal="center"/>
    </xf>
    <xf numFmtId="0" fontId="188" fillId="0" borderId="444" xfId="139" applyBorder="1"/>
    <xf numFmtId="0" fontId="188" fillId="0" borderId="463" xfId="139" applyBorder="1" applyAlignment="1">
      <alignment horizontal="center"/>
    </xf>
    <xf numFmtId="49" fontId="188" fillId="0" borderId="483" xfId="139" applyNumberFormat="1" applyBorder="1" applyAlignment="1">
      <alignment horizontal="center" vertical="center"/>
    </xf>
    <xf numFmtId="16" fontId="188" fillId="0" borderId="444" xfId="139" applyNumberFormat="1" applyBorder="1"/>
    <xf numFmtId="0" fontId="195" fillId="0" borderId="445" xfId="139" applyFont="1" applyBorder="1" applyAlignment="1">
      <alignment horizontal="left" vertical="center" wrapText="1"/>
    </xf>
    <xf numFmtId="0" fontId="195" fillId="0" borderId="445" xfId="139" applyFont="1" applyBorder="1" applyAlignment="1">
      <alignment horizontal="left" vertical="center" wrapText="1"/>
    </xf>
    <xf numFmtId="0" fontId="195" fillId="0" borderId="463" xfId="139" applyFont="1" applyBorder="1" applyAlignment="1">
      <alignment horizontal="left" vertical="center" wrapText="1"/>
    </xf>
    <xf numFmtId="0" fontId="188" fillId="0" borderId="431" xfId="139" applyBorder="1" applyAlignment="1">
      <alignment horizontal="left" vertical="center" wrapText="1"/>
    </xf>
    <xf numFmtId="0" fontId="188" fillId="0" borderId="458" xfId="139" applyBorder="1" applyAlignment="1">
      <alignment vertical="center"/>
    </xf>
    <xf numFmtId="0" fontId="188" fillId="0" borderId="439" xfId="139" applyBorder="1" applyAlignment="1"/>
    <xf numFmtId="0" fontId="188" fillId="0" borderId="479" xfId="139" applyBorder="1" applyAlignment="1">
      <alignment vertical="center"/>
    </xf>
    <xf numFmtId="0" fontId="188" fillId="0" borderId="458" xfId="139" applyBorder="1" applyAlignment="1"/>
    <xf numFmtId="0" fontId="188" fillId="0" borderId="472" xfId="139" applyNumberFormat="1" applyBorder="1" applyAlignment="1">
      <alignment horizontal="left"/>
    </xf>
    <xf numFmtId="49" fontId="188" fillId="0" borderId="478" xfId="139" applyNumberFormat="1" applyBorder="1" applyAlignment="1">
      <alignment horizontal="center" vertical="center"/>
    </xf>
    <xf numFmtId="0" fontId="188" fillId="0" borderId="462" xfId="139" applyBorder="1" applyAlignment="1">
      <alignment horizontal="left" vertical="center" shrinkToFit="1"/>
    </xf>
    <xf numFmtId="0" fontId="188" fillId="0" borderId="445" xfId="139" applyBorder="1" applyAlignment="1">
      <alignment horizontal="left" vertical="center" shrinkToFit="1"/>
    </xf>
    <xf numFmtId="0" fontId="188" fillId="0" borderId="463" xfId="139" applyBorder="1" applyAlignment="1">
      <alignment horizontal="center" vertical="center"/>
    </xf>
    <xf numFmtId="0" fontId="188" fillId="0" borderId="445" xfId="139" applyBorder="1" applyAlignment="1">
      <alignment vertical="center" wrapText="1"/>
    </xf>
    <xf numFmtId="0" fontId="188" fillId="0" borderId="445" xfId="139" applyFill="1" applyBorder="1" applyAlignment="1">
      <alignment vertical="center" wrapText="1"/>
    </xf>
    <xf numFmtId="0" fontId="188" fillId="0" borderId="474" xfId="139" applyBorder="1" applyAlignment="1">
      <alignment horizontal="left" vertical="center" wrapText="1"/>
    </xf>
    <xf numFmtId="0" fontId="188" fillId="0" borderId="457" xfId="139" applyBorder="1" applyAlignment="1">
      <alignment vertical="center"/>
    </xf>
    <xf numFmtId="0" fontId="188" fillId="0" borderId="459" xfId="139" applyBorder="1" applyAlignment="1">
      <alignment horizontal="center"/>
    </xf>
    <xf numFmtId="0" fontId="188" fillId="0" borderId="458" xfId="139" applyBorder="1" applyAlignment="1">
      <alignment horizontal="center"/>
    </xf>
    <xf numFmtId="0" fontId="188" fillId="0" borderId="471" xfId="139" applyBorder="1" applyAlignment="1">
      <alignment vertical="center"/>
    </xf>
    <xf numFmtId="0" fontId="188" fillId="0" borderId="457" xfId="139" applyBorder="1" applyAlignment="1"/>
    <xf numFmtId="0" fontId="188" fillId="0" borderId="472" xfId="139" applyBorder="1" applyAlignment="1"/>
    <xf numFmtId="0" fontId="188" fillId="0" borderId="458" xfId="139" applyBorder="1" applyAlignment="1">
      <alignment horizontal="left" vertical="center" shrinkToFit="1"/>
    </xf>
    <xf numFmtId="0" fontId="188" fillId="0" borderId="460" xfId="139" applyBorder="1" applyAlignment="1">
      <alignment horizontal="left" vertical="center" shrinkToFit="1"/>
    </xf>
    <xf numFmtId="0" fontId="188" fillId="0" borderId="460" xfId="139" applyBorder="1" applyAlignment="1">
      <alignment horizontal="center" vertical="center"/>
    </xf>
    <xf numFmtId="0" fontId="188" fillId="0" borderId="464" xfId="139" applyBorder="1" applyAlignment="1">
      <alignment horizontal="center" vertical="center"/>
    </xf>
    <xf numFmtId="49" fontId="188" fillId="0" borderId="465" xfId="139" applyNumberFormat="1" applyBorder="1" applyAlignment="1">
      <alignment horizontal="center" vertical="center"/>
    </xf>
    <xf numFmtId="0" fontId="188" fillId="0" borderId="446" xfId="139" applyBorder="1" applyAlignment="1">
      <alignment horizontal="center" vertical="center" wrapText="1"/>
    </xf>
    <xf numFmtId="0" fontId="188" fillId="0" borderId="473" xfId="139" applyBorder="1" applyAlignment="1">
      <alignment horizontal="center" vertical="center" wrapText="1"/>
    </xf>
    <xf numFmtId="0" fontId="188" fillId="0" borderId="462" xfId="139" applyBorder="1" applyAlignment="1">
      <alignment horizontal="center" vertical="center" wrapText="1"/>
    </xf>
    <xf numFmtId="0" fontId="179" fillId="0" borderId="431" xfId="139" applyFont="1" applyBorder="1" applyAlignment="1">
      <alignment vertical="center"/>
    </xf>
    <xf numFmtId="0" fontId="179" fillId="0" borderId="0" xfId="139" applyFont="1" applyAlignment="1">
      <alignment vertical="center"/>
    </xf>
    <xf numFmtId="49" fontId="188" fillId="0" borderId="480" xfId="139" applyNumberFormat="1" applyBorder="1" applyAlignment="1">
      <alignment horizontal="center"/>
    </xf>
    <xf numFmtId="0" fontId="188" fillId="0" borderId="467" xfId="139" applyBorder="1"/>
    <xf numFmtId="0" fontId="188" fillId="0" borderId="469" xfId="139" applyBorder="1" applyAlignment="1">
      <alignment horizontal="center"/>
    </xf>
    <xf numFmtId="0" fontId="188" fillId="0" borderId="468" xfId="139" applyBorder="1" applyAlignment="1">
      <alignment vertical="center" wrapText="1"/>
    </xf>
    <xf numFmtId="0" fontId="188" fillId="0" borderId="468" xfId="139" applyFill="1" applyBorder="1" applyAlignment="1">
      <alignment vertical="center" wrapText="1"/>
    </xf>
    <xf numFmtId="0" fontId="188" fillId="0" borderId="469" xfId="139" applyBorder="1" applyAlignment="1">
      <alignment horizontal="left" vertical="center" wrapText="1"/>
    </xf>
    <xf numFmtId="0" fontId="188" fillId="0" borderId="484" xfId="139" applyBorder="1" applyAlignment="1">
      <alignment horizontal="left" vertical="center" wrapText="1"/>
    </xf>
    <xf numFmtId="0" fontId="179" fillId="0" borderId="431" xfId="139" applyFont="1" applyBorder="1" applyAlignment="1">
      <alignment horizontal="left"/>
    </xf>
    <xf numFmtId="0" fontId="188" fillId="0" borderId="0" xfId="139" applyAlignment="1">
      <alignment horizontal="left"/>
    </xf>
    <xf numFmtId="49" fontId="188" fillId="0" borderId="485" xfId="139" applyNumberFormat="1" applyBorder="1" applyAlignment="1">
      <alignment horizontal="center"/>
    </xf>
    <xf numFmtId="0" fontId="188" fillId="0" borderId="450" xfId="139" applyBorder="1"/>
    <xf numFmtId="0" fontId="188" fillId="0" borderId="453" xfId="139" applyBorder="1" applyAlignment="1">
      <alignment horizontal="center"/>
    </xf>
    <xf numFmtId="0" fontId="188" fillId="0" borderId="451" xfId="139" applyBorder="1" applyAlignment="1">
      <alignment vertical="center" wrapText="1"/>
    </xf>
    <xf numFmtId="0" fontId="188" fillId="0" borderId="451" xfId="139" applyFill="1" applyBorder="1" applyAlignment="1">
      <alignment vertical="center" wrapText="1"/>
    </xf>
    <xf numFmtId="0" fontId="188" fillId="0" borderId="486" xfId="139" applyBorder="1" applyAlignment="1">
      <alignment horizontal="left" vertical="center" wrapText="1"/>
    </xf>
    <xf numFmtId="0" fontId="179" fillId="0" borderId="0" xfId="139" applyFont="1" applyAlignment="1">
      <alignment horizontal="left"/>
    </xf>
  </cellXfs>
  <cellStyles count="140">
    <cellStyle name="Akzent1 2" xfId="1"/>
    <cellStyle name="Akzent2 2" xfId="2"/>
    <cellStyle name="Akzent3 2" xfId="3"/>
    <cellStyle name="Akzent4 2" xfId="4"/>
    <cellStyle name="Akzent5 2" xfId="5"/>
    <cellStyle name="Akzent6 2" xfId="6"/>
    <cellStyle name="Ausgabe 2" xfId="7"/>
    <cellStyle name="Ausgabe 2 2" xfId="8"/>
    <cellStyle name="Ausgabe 2 2 2" xfId="66"/>
    <cellStyle name="Ausgabe 2 2 2 2" xfId="111"/>
    <cellStyle name="Ausgabe 2 2 2 3" xfId="123"/>
    <cellStyle name="Ausgabe 2 2 3" xfId="82"/>
    <cellStyle name="Ausgabe 2 2 4" xfId="103"/>
    <cellStyle name="Ausgabe 2 3" xfId="65"/>
    <cellStyle name="Ausgabe 2 3 2" xfId="110"/>
    <cellStyle name="Ausgabe 2 3 3" xfId="122"/>
    <cellStyle name="Ausgabe 2 4" xfId="81"/>
    <cellStyle name="Ausgabe 2 5" xfId="104"/>
    <cellStyle name="Berechnung 2" xfId="9"/>
    <cellStyle name="Berechnung 2 2" xfId="10"/>
    <cellStyle name="Berechnung 2 2 2" xfId="68"/>
    <cellStyle name="Berechnung 2 2 2 2" xfId="113"/>
    <cellStyle name="Berechnung 2 2 2 3" xfId="125"/>
    <cellStyle name="Berechnung 2 2 3" xfId="84"/>
    <cellStyle name="Berechnung 2 2 4" xfId="101"/>
    <cellStyle name="Berechnung 2 3" xfId="67"/>
    <cellStyle name="Berechnung 2 3 2" xfId="112"/>
    <cellStyle name="Berechnung 2 3 3" xfId="124"/>
    <cellStyle name="Berechnung 2 4" xfId="83"/>
    <cellStyle name="Berechnung 2 5" xfId="102"/>
    <cellStyle name="Eingabe 2" xfId="12"/>
    <cellStyle name="Eingabe 2 2" xfId="13"/>
    <cellStyle name="Eingabe 2 2 2" xfId="70"/>
    <cellStyle name="Eingabe 2 2 2 2" xfId="115"/>
    <cellStyle name="Eingabe 2 2 2 3" xfId="127"/>
    <cellStyle name="Eingabe 2 2 3" xfId="86"/>
    <cellStyle name="Eingabe 2 2 4" xfId="100"/>
    <cellStyle name="Eingabe 2 3" xfId="69"/>
    <cellStyle name="Eingabe 2 3 2" xfId="114"/>
    <cellStyle name="Eingabe 2 3 3" xfId="126"/>
    <cellStyle name="Eingabe 2 4" xfId="85"/>
    <cellStyle name="Eingabe 2 5" xfId="105"/>
    <cellStyle name="Ergebnis 1" xfId="14"/>
    <cellStyle name="Ergebnis 1 1" xfId="15"/>
    <cellStyle name="Ergebnis 1 1 2" xfId="16"/>
    <cellStyle name="Ergebnis 1 1 2 2" xfId="73"/>
    <cellStyle name="Ergebnis 1 1 2 2 2" xfId="118"/>
    <cellStyle name="Ergebnis 1 1 2 2 3" xfId="130"/>
    <cellStyle name="Ergebnis 1 1 2 3" xfId="89"/>
    <cellStyle name="Ergebnis 1 1 2 4" xfId="97"/>
    <cellStyle name="Ergebnis 1 1 3" xfId="72"/>
    <cellStyle name="Ergebnis 1 1 3 2" xfId="117"/>
    <cellStyle name="Ergebnis 1 1 3 3" xfId="129"/>
    <cellStyle name="Ergebnis 1 1 4" xfId="88"/>
    <cellStyle name="Ergebnis 1 1 5" xfId="98"/>
    <cellStyle name="Ergebnis 1 2" xfId="17"/>
    <cellStyle name="Ergebnis 1 2 2" xfId="74"/>
    <cellStyle name="Ergebnis 1 2 2 2" xfId="119"/>
    <cellStyle name="Ergebnis 1 2 2 3" xfId="131"/>
    <cellStyle name="Ergebnis 1 2 3" xfId="90"/>
    <cellStyle name="Ergebnis 1 2 4" xfId="96"/>
    <cellStyle name="Ergebnis 1 3" xfId="71"/>
    <cellStyle name="Ergebnis 1 3 2" xfId="116"/>
    <cellStyle name="Ergebnis 1 3 3" xfId="128"/>
    <cellStyle name="Ergebnis 1 4" xfId="87"/>
    <cellStyle name="Ergebnis 1 5" xfId="99"/>
    <cellStyle name="Erklärender Text 2" xfId="18"/>
    <cellStyle name="Erklärender Text 3" xfId="138"/>
    <cellStyle name="Gut 2" xfId="19"/>
    <cellStyle name="Hyperlink" xfId="25" builtinId="8"/>
    <cellStyle name="Hyperlink 2" xfId="91"/>
    <cellStyle name="Hyperlink 3" xfId="137"/>
    <cellStyle name="Komma" xfId="11" builtinId="3"/>
    <cellStyle name="Komma 2" xfId="20"/>
    <cellStyle name="Komma 2 2" xfId="21"/>
    <cellStyle name="Komma 2 3" xfId="22"/>
    <cellStyle name="Komma 3" xfId="23"/>
    <cellStyle name="Komma 4" xfId="24"/>
    <cellStyle name="Komma 5" xfId="55"/>
    <cellStyle name="Komma 5 2" xfId="64"/>
    <cellStyle name="Komma 5 2 2" xfId="109"/>
    <cellStyle name="Komma 5 3" xfId="79"/>
    <cellStyle name="Komma 6" xfId="59"/>
    <cellStyle name="Komma 7" xfId="57"/>
    <cellStyle name="Komma 7 2" xfId="107"/>
    <cellStyle name="Komma 8" xfId="78"/>
    <cellStyle name="Komma 9" xfId="134"/>
    <cellStyle name="Neutral 2" xfId="26"/>
    <cellStyle name="Notiz 2" xfId="27"/>
    <cellStyle name="Notiz 2 2" xfId="28"/>
    <cellStyle name="Notiz 2 2 2" xfId="76"/>
    <cellStyle name="Notiz 2 2 2 2" xfId="121"/>
    <cellStyle name="Notiz 2 2 2 3" xfId="133"/>
    <cellStyle name="Notiz 2 2 3" xfId="93"/>
    <cellStyle name="Notiz 2 2 4" xfId="94"/>
    <cellStyle name="Notiz 2 3" xfId="75"/>
    <cellStyle name="Notiz 2 3 2" xfId="120"/>
    <cellStyle name="Notiz 2 3 3" xfId="132"/>
    <cellStyle name="Notiz 2 4" xfId="92"/>
    <cellStyle name="Notiz 2 5" xfId="95"/>
    <cellStyle name="Prozent" xfId="29" builtinId="5"/>
    <cellStyle name="Prozent 2" xfId="30"/>
    <cellStyle name="Prozent 3" xfId="31"/>
    <cellStyle name="Prozent 4" xfId="32"/>
    <cellStyle name="Prozent 5" xfId="60"/>
    <cellStyle name="Prozent 6" xfId="136"/>
    <cellStyle name="Schlecht 2" xfId="33"/>
    <cellStyle name="Standard" xfId="0" builtinId="0"/>
    <cellStyle name="Standard 10" xfId="56"/>
    <cellStyle name="Standard 10 2" xfId="106"/>
    <cellStyle name="Standard 11" xfId="77"/>
    <cellStyle name="Standard 12" xfId="139"/>
    <cellStyle name="Standard 2" xfId="34"/>
    <cellStyle name="Standard 2 2" xfId="54"/>
    <cellStyle name="Standard 2 3" xfId="61"/>
    <cellStyle name="Standard 3" xfId="35"/>
    <cellStyle name="Standard 4" xfId="36"/>
    <cellStyle name="Standard 4 2" xfId="37"/>
    <cellStyle name="Standard 4 2 2" xfId="38"/>
    <cellStyle name="Standard 4 3" xfId="39"/>
    <cellStyle name="Standard 5" xfId="40"/>
    <cellStyle name="Standard 6" xfId="41"/>
    <cellStyle name="Standard 7" xfId="42"/>
    <cellStyle name="Standard 8" xfId="53"/>
    <cellStyle name="Standard 8 2" xfId="63"/>
    <cellStyle name="Standard 8 2 2" xfId="108"/>
    <cellStyle name="Standard 8 3" xfId="80"/>
    <cellStyle name="Standard 9" xfId="58"/>
    <cellStyle name="Überschrift 1 1" xfId="43"/>
    <cellStyle name="Überschrift 1 1 1" xfId="44"/>
    <cellStyle name="Überschrift 1 2" xfId="45"/>
    <cellStyle name="Überschrift 2 2" xfId="46"/>
    <cellStyle name="Überschrift 3 2" xfId="47"/>
    <cellStyle name="Überschrift 4 2" xfId="48"/>
    <cellStyle name="Verknüpfte Zelle 2" xfId="49"/>
    <cellStyle name="Währung" xfId="52" builtinId="4"/>
    <cellStyle name="Währung 2" xfId="62"/>
    <cellStyle name="Währung 3" xfId="135"/>
    <cellStyle name="Warnender Text 2" xfId="50"/>
    <cellStyle name="Zelle überprüfen 2" xfId="51"/>
  </cellStyles>
  <dxfs count="60">
    <dxf>
      <font>
        <b/>
        <i val="0"/>
        <color rgb="FF008000"/>
      </font>
    </dxf>
    <dxf>
      <font>
        <b/>
        <i val="0"/>
        <color rgb="FFFF0000"/>
      </font>
      <fill>
        <patternFill>
          <bgColor rgb="FFCCFFFF"/>
        </patternFill>
      </fill>
    </dxf>
    <dxf>
      <font>
        <b/>
        <i val="0"/>
        <color rgb="FF008000"/>
      </font>
    </dxf>
    <dxf>
      <font>
        <b/>
        <i val="0"/>
        <color rgb="FFFF0000"/>
      </font>
      <fill>
        <patternFill>
          <bgColor rgb="FFCCFFFF"/>
        </patternFill>
      </fill>
    </dxf>
    <dxf>
      <font>
        <color theme="0"/>
      </font>
      <fill>
        <patternFill>
          <bgColor rgb="FFFF0000"/>
        </patternFill>
      </fill>
    </dxf>
    <dxf>
      <font>
        <b/>
        <i val="0"/>
        <color rgb="FFFF0000"/>
      </font>
    </dxf>
    <dxf>
      <font>
        <b/>
        <i val="0"/>
        <color rgb="FFFF0000"/>
      </font>
      <fill>
        <patternFill>
          <bgColor rgb="FFCCECFF"/>
        </patternFill>
      </fill>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ill>
        <patternFill patternType="solid">
          <fgColor indexed="51"/>
          <bgColor indexed="34"/>
        </patternFill>
      </fill>
    </dxf>
    <dxf>
      <font>
        <b val="0"/>
        <i val="0"/>
        <condense val="0"/>
        <extend val="0"/>
        <color indexed="9"/>
      </font>
      <fill>
        <patternFill patternType="solid">
          <fgColor indexed="60"/>
          <bgColor indexed="10"/>
        </patternFill>
      </fill>
    </dxf>
    <dxf>
      <font>
        <b val="0"/>
        <i val="0"/>
        <condense val="0"/>
        <extend val="0"/>
        <color indexed="9"/>
      </font>
      <fill>
        <patternFill patternType="solid">
          <fgColor indexed="60"/>
          <bgColor indexed="10"/>
        </patternFill>
      </fill>
    </dxf>
    <dxf>
      <font>
        <b/>
        <i val="0"/>
        <condense val="0"/>
        <extend val="0"/>
      </font>
      <fill>
        <patternFill patternType="solid">
          <fgColor indexed="34"/>
          <bgColor indexed="52"/>
        </patternFill>
      </fill>
    </dxf>
    <dxf>
      <font>
        <b val="0"/>
        <i val="0"/>
        <condense val="0"/>
        <extend val="0"/>
        <color indexed="9"/>
      </font>
      <fill>
        <patternFill patternType="solid">
          <fgColor indexed="60"/>
          <bgColor indexed="10"/>
        </patternFill>
      </fill>
    </dxf>
    <dxf>
      <font>
        <b val="0"/>
        <i val="0"/>
        <condense val="0"/>
        <extend val="0"/>
        <color indexed="9"/>
      </font>
      <fill>
        <patternFill patternType="solid">
          <fgColor indexed="60"/>
          <bgColor indexed="10"/>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ont>
        <color theme="0"/>
      </font>
      <fill>
        <patternFill>
          <bgColor rgb="FFFF0000"/>
        </patternFill>
      </fill>
    </dxf>
    <dxf>
      <font>
        <b/>
        <i val="0"/>
        <condense val="0"/>
        <extend val="0"/>
        <color indexed="9"/>
      </font>
      <fill>
        <patternFill patternType="solid">
          <fgColor indexed="60"/>
          <bgColor indexed="10"/>
        </patternFill>
      </fill>
    </dxf>
    <dxf>
      <font>
        <b/>
        <i val="0"/>
        <condense val="0"/>
        <extend val="0"/>
        <color indexed="10"/>
      </font>
      <fill>
        <patternFill patternType="solid">
          <fgColor indexed="26"/>
          <bgColor indexed="16"/>
        </patternFill>
      </fill>
    </dxf>
    <dxf>
      <font>
        <b/>
        <i val="0"/>
        <condense val="0"/>
        <extend val="0"/>
        <color indexed="8"/>
      </font>
      <fill>
        <patternFill patternType="solid">
          <fgColor indexed="41"/>
          <bgColor indexed="27"/>
        </patternFill>
      </fill>
    </dxf>
    <dxf>
      <font>
        <b/>
        <i val="0"/>
        <condense val="0"/>
        <extend val="0"/>
        <color indexed="10"/>
      </font>
      <fill>
        <patternFill patternType="solid">
          <fgColor indexed="26"/>
          <bgColor indexed="16"/>
        </patternFill>
      </fill>
    </dxf>
    <dxf>
      <font>
        <b/>
        <i val="0"/>
        <condense val="0"/>
        <extend val="0"/>
        <color indexed="8"/>
      </font>
      <fill>
        <patternFill patternType="solid">
          <fgColor indexed="41"/>
          <bgColor indexed="27"/>
        </patternFill>
      </fill>
    </dxf>
    <dxf>
      <font>
        <b/>
        <i val="0"/>
        <condense val="0"/>
        <extend val="0"/>
        <color indexed="9"/>
      </font>
      <fill>
        <patternFill patternType="solid">
          <fgColor indexed="60"/>
          <bgColor indexed="10"/>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ont>
        <b/>
        <i val="0"/>
        <condense val="0"/>
        <extend val="0"/>
        <color indexed="9"/>
      </font>
      <fill>
        <patternFill patternType="solid">
          <fgColor indexed="60"/>
          <bgColor indexed="10"/>
        </patternFill>
      </fill>
    </dxf>
    <dxf>
      <fill>
        <patternFill patternType="solid">
          <fgColor indexed="15"/>
          <bgColor indexed="42"/>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ont>
        <b/>
        <i val="0"/>
        <condense val="0"/>
        <extend val="0"/>
        <color indexed="9"/>
      </font>
      <fill>
        <patternFill patternType="solid">
          <fgColor indexed="60"/>
          <bgColor indexed="10"/>
        </patternFill>
      </fill>
    </dxf>
    <dxf>
      <fill>
        <patternFill patternType="solid">
          <fgColor indexed="15"/>
          <bgColor indexed="42"/>
        </patternFill>
      </fill>
    </dxf>
    <dxf>
      <fill>
        <patternFill patternType="solid">
          <fgColor indexed="34"/>
          <bgColor indexed="51"/>
        </patternFill>
      </fill>
    </dxf>
    <dxf>
      <fill>
        <patternFill patternType="solid">
          <fgColor indexed="41"/>
          <bgColor indexed="27"/>
        </patternFill>
      </fill>
    </dxf>
    <dxf>
      <font>
        <b/>
        <i val="0"/>
        <condense val="0"/>
        <extend val="0"/>
        <color indexed="0"/>
      </font>
      <fill>
        <patternFill patternType="solid">
          <fgColor indexed="33"/>
          <bgColor indexed="29"/>
        </patternFill>
      </fill>
    </dxf>
    <dxf>
      <fill>
        <patternFill patternType="solid">
          <fgColor indexed="15"/>
          <bgColor indexed="42"/>
        </patternFill>
      </fill>
    </dxf>
    <dxf>
      <fill>
        <patternFill patternType="solid">
          <fgColor indexed="41"/>
          <bgColor indexed="27"/>
        </patternFill>
      </fill>
    </dxf>
    <dxf>
      <fill>
        <patternFill patternType="solid">
          <fgColor indexed="41"/>
          <bgColor indexed="27"/>
        </patternFill>
      </fill>
    </dxf>
    <dxf>
      <fill>
        <patternFill patternType="solid">
          <fgColor indexed="34"/>
          <bgColor indexed="51"/>
        </patternFill>
      </fill>
    </dxf>
    <dxf>
      <fill>
        <patternFill patternType="solid">
          <fgColor indexed="41"/>
          <bgColor indexed="27"/>
        </patternFill>
      </fill>
    </dxf>
    <dxf>
      <fill>
        <patternFill patternType="solid">
          <fgColor indexed="34"/>
          <bgColor indexed="51"/>
        </patternFill>
      </fill>
    </dxf>
    <dxf>
      <font>
        <b/>
        <i val="0"/>
        <condense val="0"/>
        <extend val="0"/>
        <color indexed="9"/>
      </font>
      <fill>
        <patternFill patternType="solid">
          <fgColor indexed="60"/>
          <bgColor indexed="10"/>
        </patternFill>
      </fill>
    </dxf>
    <dxf>
      <fill>
        <patternFill patternType="solid">
          <fgColor indexed="41"/>
          <bgColor indexed="27"/>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D7E4BD"/>
      <rgbColor rgb="000000FF"/>
      <rgbColor rgb="00FFFF00"/>
      <rgbColor rgb="00FF00FF"/>
      <rgbColor rgb="00CCFF99"/>
      <rgbColor rgb="00FFFFD5"/>
      <rgbColor rgb="00008000"/>
      <rgbColor rgb="00000080"/>
      <rgbColor rgb="00C3D69B"/>
      <rgbColor rgb="00800080"/>
      <rgbColor rgb="00008080"/>
      <rgbColor rgb="00C0C0C0"/>
      <rgbColor rgb="00808080"/>
      <rgbColor rgb="008EB4E3"/>
      <rgbColor rgb="00DDD9C3"/>
      <rgbColor rgb="00FFFFCC"/>
      <rgbColor rgb="00CCFFFF"/>
      <rgbColor rgb="00EBFFEB"/>
      <rgbColor rgb="00FFCCCC"/>
      <rgbColor rgb="00F2DCDB"/>
      <rgbColor rgb="00CCCCFF"/>
      <rgbColor rgb="00000080"/>
      <rgbColor rgb="00FCD5B5"/>
      <rgbColor rgb="00FFC000"/>
      <rgbColor rgb="00DBEEF4"/>
      <rgbColor rgb="00FDEADA"/>
      <rgbColor rgb="00800000"/>
      <rgbColor rgb="00DDDDDD"/>
      <rgbColor rgb="000000FF"/>
      <rgbColor rgb="00B7DEE8"/>
      <rgbColor rgb="00CCECFF"/>
      <rgbColor rgb="00CCFFCC"/>
      <rgbColor rgb="00FFFF99"/>
      <rgbColor rgb="0099CCFF"/>
      <rgbColor rgb="00FF99CC"/>
      <rgbColor rgb="00BFBFBF"/>
      <rgbColor rgb="00FFCC99"/>
      <rgbColor rgb="003366FF"/>
      <rgbColor rgb="0033CCCC"/>
      <rgbColor rgb="0092D050"/>
      <rgbColor rgb="00FFCC00"/>
      <rgbColor rgb="00FF9900"/>
      <rgbColor rgb="00FF6600"/>
      <rgbColor rgb="00666699"/>
      <rgbColor rgb="00969696"/>
      <rgbColor rgb="00F2F2F2"/>
      <rgbColor rgb="00339966"/>
      <rgbColor rgb="00003300"/>
      <rgbColor rgb="00EBF1DE"/>
      <rgbColor rgb="00993300"/>
      <rgbColor rgb="00D9D9D9"/>
      <rgbColor rgb="00333399"/>
      <rgbColor rgb="00333333"/>
    </indexedColors>
    <mruColors>
      <color rgb="FF3333FF"/>
      <color rgb="FF3366FF"/>
      <color rgb="FFDAB48E"/>
      <color rgb="FF996633"/>
      <color rgb="FFCCFFFF"/>
      <color rgb="FFCCECFF"/>
      <color rgb="FF99FFCC"/>
      <color rgb="FFCCFFCC"/>
      <color rgb="FFFFFFCC"/>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130175</xdr:colOff>
      <xdr:row>0</xdr:row>
      <xdr:rowOff>165100</xdr:rowOff>
    </xdr:from>
    <xdr:to>
      <xdr:col>2</xdr:col>
      <xdr:colOff>2629720</xdr:colOff>
      <xdr:row>0</xdr:row>
      <xdr:rowOff>701784</xdr:rowOff>
    </xdr:to>
    <xdr:pic>
      <xdr:nvPicPr>
        <xdr:cNvPr id="2049" name="Grafik 1"/>
        <xdr:cNvPicPr>
          <a:picLocks noChangeAspect="1" noChangeArrowheads="1"/>
        </xdr:cNvPicPr>
      </xdr:nvPicPr>
      <xdr:blipFill>
        <a:blip xmlns:r="http://schemas.openxmlformats.org/officeDocument/2006/relationships" r:embed="rId1"/>
        <a:srcRect/>
        <a:stretch>
          <a:fillRect/>
        </a:stretch>
      </xdr:blipFill>
      <xdr:spPr bwMode="auto">
        <a:xfrm>
          <a:off x="4152900" y="165100"/>
          <a:ext cx="2870200" cy="546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63500</xdr:colOff>
      <xdr:row>4</xdr:row>
      <xdr:rowOff>38100</xdr:rowOff>
    </xdr:from>
    <xdr:to>
      <xdr:col>7</xdr:col>
      <xdr:colOff>1693333</xdr:colOff>
      <xdr:row>6</xdr:row>
      <xdr:rowOff>116417</xdr:rowOff>
    </xdr:to>
    <xdr:pic>
      <xdr:nvPicPr>
        <xdr:cNvPr id="3073" name="Grafik 1"/>
        <xdr:cNvPicPr>
          <a:picLocks noChangeAspect="1" noChangeArrowheads="1"/>
        </xdr:cNvPicPr>
      </xdr:nvPicPr>
      <xdr:blipFill>
        <a:blip xmlns:r="http://schemas.openxmlformats.org/officeDocument/2006/relationships" r:embed="rId1"/>
        <a:srcRect/>
        <a:stretch>
          <a:fillRect/>
        </a:stretch>
      </xdr:blipFill>
      <xdr:spPr bwMode="auto">
        <a:xfrm>
          <a:off x="5450417" y="1477433"/>
          <a:ext cx="2772833" cy="64981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6</xdr:col>
      <xdr:colOff>79375</xdr:colOff>
      <xdr:row>1</xdr:row>
      <xdr:rowOff>63500</xdr:rowOff>
    </xdr:from>
    <xdr:to>
      <xdr:col>7</xdr:col>
      <xdr:colOff>1703173</xdr:colOff>
      <xdr:row>3</xdr:row>
      <xdr:rowOff>201084</xdr:rowOff>
    </xdr:to>
    <xdr:pic>
      <xdr:nvPicPr>
        <xdr:cNvPr id="3074" name="Grafik 2"/>
        <xdr:cNvPicPr>
          <a:picLocks noChangeAspect="1" noChangeArrowheads="1"/>
        </xdr:cNvPicPr>
      </xdr:nvPicPr>
      <xdr:blipFill>
        <a:blip xmlns:r="http://schemas.openxmlformats.org/officeDocument/2006/relationships" r:embed="rId2"/>
        <a:srcRect/>
        <a:stretch>
          <a:fillRect/>
        </a:stretch>
      </xdr:blipFill>
      <xdr:spPr bwMode="auto">
        <a:xfrm>
          <a:off x="5466292" y="751417"/>
          <a:ext cx="2766798" cy="603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59532</xdr:colOff>
      <xdr:row>0</xdr:row>
      <xdr:rowOff>0</xdr:rowOff>
    </xdr:from>
    <xdr:to>
      <xdr:col>5</xdr:col>
      <xdr:colOff>840581</xdr:colOff>
      <xdr:row>0</xdr:row>
      <xdr:rowOff>533201</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4782" y="0"/>
          <a:ext cx="2614612" cy="533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nesrecheis/Library/Containers/com.apple.mail/Data/Library/Mail%20Downloads/BB867B15-1973-4E5C-B2D6-16E724B7DF7B/LK-D&#252;ngerrechner%2020160316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etrieb"/>
      <sheetName val="N_Bedarf"/>
      <sheetName val="Tiere"/>
      <sheetName val="Hofdung"/>
      <sheetName val="Düngeplanung"/>
      <sheetName val="Tabelle1"/>
      <sheetName val="Organ__Dü"/>
      <sheetName val="Mineral"/>
      <sheetName val="Ergebnis"/>
      <sheetName val="N_Berechnung"/>
      <sheetName val="System I"/>
      <sheetName val="Weideblatt"/>
      <sheetName val="Bodennah"/>
      <sheetName val="Pfl_Schutz"/>
      <sheetName val="Schw_Geflügel"/>
      <sheetName val="Tierzahlen"/>
      <sheetName val="Phosphor"/>
      <sheetName val="Dü-Verbote"/>
    </sheetNames>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johannes.recheis-kienesberger@lk-ooe.at" TargetMode="External"/><Relationship Id="rId1" Type="http://schemas.openxmlformats.org/officeDocument/2006/relationships/hyperlink" Target="http://www.ooe.lko.at/"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ama.at/Fachliche-Informationen/Oepul/Listen"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www.bwsb.at/?+OEDuePLan+Update+&amp;id=2500,,1783344,5491"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hyperlink" Target="https://www.ama.at/Fachliche-Informationen/Oepul/Listen"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J55"/>
  <sheetViews>
    <sheetView showZeros="0" tabSelected="1" zoomScale="80" zoomScaleNormal="80" workbookViewId="0">
      <selection sqref="A1:B1"/>
    </sheetView>
  </sheetViews>
  <sheetFormatPr baseColWidth="10" defaultColWidth="12.28515625" defaultRowHeight="12.75"/>
  <cols>
    <col min="2" max="2" width="40.28515625" customWidth="1"/>
    <col min="3" max="3" width="46.140625" customWidth="1"/>
    <col min="4" max="4" width="4.28515625" customWidth="1"/>
    <col min="6" max="6" width="34.42578125" customWidth="1"/>
    <col min="7" max="7" width="38.140625" customWidth="1"/>
    <col min="8" max="8" width="3.140625" customWidth="1"/>
    <col min="9" max="9" width="20.28515625" customWidth="1"/>
    <col min="10" max="10" width="46.140625" customWidth="1"/>
  </cols>
  <sheetData>
    <row r="1" spans="1:10" ht="71.25" customHeight="1">
      <c r="A1" s="2829" t="s">
        <v>1857</v>
      </c>
      <c r="B1" s="2829"/>
      <c r="C1" s="442"/>
      <c r="D1" s="443"/>
      <c r="E1" s="2830" t="s">
        <v>380</v>
      </c>
      <c r="F1" s="2830"/>
      <c r="G1" s="444" t="s">
        <v>381</v>
      </c>
      <c r="H1" s="445"/>
    </row>
    <row r="2" spans="1:10" ht="24" customHeight="1">
      <c r="A2" s="446"/>
      <c r="B2" s="447"/>
      <c r="C2" s="448" t="s">
        <v>2154</v>
      </c>
      <c r="D2" s="447"/>
      <c r="E2" s="2831" t="s">
        <v>382</v>
      </c>
      <c r="F2" s="2831"/>
      <c r="G2" s="447"/>
      <c r="H2" s="445"/>
    </row>
    <row r="3" spans="1:10" ht="20.25">
      <c r="A3" s="449" t="s">
        <v>383</v>
      </c>
      <c r="B3" s="450"/>
      <c r="C3" s="448"/>
      <c r="D3" s="450"/>
      <c r="E3" s="451"/>
      <c r="F3" s="451"/>
      <c r="G3" s="451"/>
      <c r="H3" s="445"/>
    </row>
    <row r="4" spans="1:10" ht="20.25" customHeight="1">
      <c r="A4" s="2832" t="s">
        <v>1853</v>
      </c>
      <c r="B4" s="2832"/>
      <c r="C4" s="2832"/>
      <c r="D4" s="447"/>
      <c r="E4" s="452" t="s">
        <v>384</v>
      </c>
      <c r="F4" s="453"/>
      <c r="G4" s="454"/>
      <c r="H4" s="445"/>
      <c r="I4" s="455" t="s">
        <v>385</v>
      </c>
      <c r="J4" s="456" t="s">
        <v>386</v>
      </c>
    </row>
    <row r="5" spans="1:10" ht="21" customHeight="1">
      <c r="A5" s="2832"/>
      <c r="B5" s="2832"/>
      <c r="C5" s="2832"/>
      <c r="D5" s="447"/>
      <c r="E5" s="2818" t="s">
        <v>387</v>
      </c>
      <c r="F5" s="2818"/>
      <c r="G5" s="2818"/>
      <c r="H5" s="445"/>
      <c r="I5" s="457">
        <v>42044</v>
      </c>
      <c r="J5" s="458" t="s">
        <v>388</v>
      </c>
    </row>
    <row r="6" spans="1:10" ht="21" customHeight="1">
      <c r="A6" s="2832"/>
      <c r="B6" s="2832"/>
      <c r="C6" s="2832"/>
      <c r="D6" s="447"/>
      <c r="E6" s="2818"/>
      <c r="F6" s="2818"/>
      <c r="G6" s="2818"/>
      <c r="H6" s="445"/>
      <c r="I6" s="457">
        <v>42223</v>
      </c>
      <c r="J6" s="459" t="s">
        <v>389</v>
      </c>
    </row>
    <row r="7" spans="1:10" ht="21" customHeight="1">
      <c r="A7" s="2832"/>
      <c r="B7" s="2832"/>
      <c r="C7" s="2832"/>
      <c r="D7" s="447"/>
      <c r="E7" s="2818"/>
      <c r="F7" s="2818"/>
      <c r="G7" s="2818"/>
      <c r="H7" s="445"/>
      <c r="I7" s="457">
        <v>42241</v>
      </c>
      <c r="J7" s="459" t="s">
        <v>390</v>
      </c>
    </row>
    <row r="8" spans="1:10" ht="15" customHeight="1">
      <c r="A8" s="460" t="s">
        <v>391</v>
      </c>
      <c r="B8" s="461"/>
      <c r="C8" s="461"/>
      <c r="D8" s="447"/>
      <c r="E8" s="2818" t="s">
        <v>392</v>
      </c>
      <c r="F8" s="2818"/>
      <c r="G8" s="2818"/>
      <c r="H8" s="445"/>
      <c r="I8" s="457">
        <v>42377</v>
      </c>
      <c r="J8" s="459" t="s">
        <v>393</v>
      </c>
    </row>
    <row r="9" spans="1:10" ht="15" customHeight="1">
      <c r="A9" s="462" t="s">
        <v>394</v>
      </c>
      <c r="B9" s="461"/>
      <c r="C9" s="461"/>
      <c r="D9" s="447"/>
      <c r="E9" s="2818"/>
      <c r="F9" s="2818"/>
      <c r="G9" s="2818"/>
      <c r="H9" s="445"/>
      <c r="I9" s="457">
        <v>42429</v>
      </c>
      <c r="J9" s="459" t="s">
        <v>1732</v>
      </c>
    </row>
    <row r="10" spans="1:10" ht="16.5" customHeight="1">
      <c r="A10" s="2819" t="s">
        <v>1854</v>
      </c>
      <c r="B10" s="2819"/>
      <c r="C10" s="2819"/>
      <c r="D10" s="447"/>
      <c r="E10" s="2818"/>
      <c r="F10" s="2818"/>
      <c r="G10" s="2818"/>
      <c r="H10" s="445"/>
      <c r="I10" s="457"/>
      <c r="J10" s="459" t="s">
        <v>1777</v>
      </c>
    </row>
    <row r="11" spans="1:10" ht="16.5" customHeight="1">
      <c r="A11" s="2819"/>
      <c r="B11" s="2819"/>
      <c r="C11" s="2819"/>
      <c r="D11" s="447"/>
      <c r="E11" s="2818"/>
      <c r="F11" s="2818"/>
      <c r="G11" s="2818"/>
      <c r="H11" s="445"/>
      <c r="I11" s="457">
        <v>42432</v>
      </c>
      <c r="J11" s="463" t="s">
        <v>1760</v>
      </c>
    </row>
    <row r="12" spans="1:10" ht="16.5" customHeight="1">
      <c r="A12" s="2819"/>
      <c r="B12" s="2819"/>
      <c r="C12" s="2819"/>
      <c r="D12" s="447"/>
      <c r="E12" s="2823" t="s">
        <v>1852</v>
      </c>
      <c r="F12" s="2824"/>
      <c r="G12" s="2825"/>
      <c r="H12" s="445"/>
      <c r="I12" s="457">
        <v>42436</v>
      </c>
      <c r="J12" s="459" t="s">
        <v>1776</v>
      </c>
    </row>
    <row r="13" spans="1:10" ht="16.5" customHeight="1">
      <c r="A13" s="2819"/>
      <c r="B13" s="2819"/>
      <c r="C13" s="2819"/>
      <c r="D13" s="447"/>
      <c r="E13" s="2823"/>
      <c r="F13" s="2824"/>
      <c r="G13" s="2825"/>
      <c r="H13" s="445"/>
      <c r="I13" s="457">
        <v>42445</v>
      </c>
      <c r="J13" s="459" t="s">
        <v>1781</v>
      </c>
    </row>
    <row r="14" spans="1:10" ht="15.75" customHeight="1">
      <c r="A14" s="464" t="s">
        <v>395</v>
      </c>
      <c r="B14" s="461"/>
      <c r="C14" s="461"/>
      <c r="D14" s="447"/>
      <c r="E14" s="2823"/>
      <c r="F14" s="2824"/>
      <c r="G14" s="2825"/>
      <c r="H14" s="445"/>
      <c r="I14" s="457">
        <v>42452</v>
      </c>
      <c r="J14" s="459" t="s">
        <v>1782</v>
      </c>
    </row>
    <row r="15" spans="1:10" ht="15.75" customHeight="1">
      <c r="A15" s="2820" t="s">
        <v>396</v>
      </c>
      <c r="B15" s="2820"/>
      <c r="C15" s="2820"/>
      <c r="D15" s="447"/>
      <c r="E15" s="2823"/>
      <c r="F15" s="2824"/>
      <c r="G15" s="2825"/>
      <c r="H15" s="445"/>
      <c r="I15" s="457">
        <v>42488</v>
      </c>
      <c r="J15" s="459" t="s">
        <v>1840</v>
      </c>
    </row>
    <row r="16" spans="1:10" ht="13.5" customHeight="1">
      <c r="A16" s="2820"/>
      <c r="B16" s="2820"/>
      <c r="C16" s="2820"/>
      <c r="D16" s="447"/>
      <c r="E16" s="2826"/>
      <c r="F16" s="2827"/>
      <c r="G16" s="2828"/>
      <c r="H16" s="445"/>
      <c r="I16" s="457">
        <v>42503</v>
      </c>
      <c r="J16" s="459" t="s">
        <v>1844</v>
      </c>
    </row>
    <row r="17" spans="1:10" ht="16.5" customHeight="1">
      <c r="A17" s="2820"/>
      <c r="B17" s="2820"/>
      <c r="C17" s="2820"/>
      <c r="D17" s="447"/>
      <c r="E17" s="451"/>
      <c r="F17" s="451"/>
      <c r="G17" s="451"/>
      <c r="H17" s="445"/>
      <c r="I17" s="457">
        <v>42513</v>
      </c>
      <c r="J17" s="459" t="s">
        <v>1846</v>
      </c>
    </row>
    <row r="18" spans="1:10" ht="21" customHeight="1">
      <c r="A18" s="2820"/>
      <c r="B18" s="2820"/>
      <c r="C18" s="2820"/>
      <c r="D18" s="465"/>
      <c r="E18" s="466" t="s">
        <v>397</v>
      </c>
      <c r="F18" s="467"/>
      <c r="G18" s="468" t="s">
        <v>398</v>
      </c>
      <c r="H18" s="445"/>
      <c r="I18" s="457">
        <v>42559</v>
      </c>
      <c r="J18" s="459" t="s">
        <v>1851</v>
      </c>
    </row>
    <row r="19" spans="1:10" ht="19.5" customHeight="1">
      <c r="A19" s="2820"/>
      <c r="B19" s="2820"/>
      <c r="C19" s="2820"/>
      <c r="D19" s="465"/>
      <c r="E19" s="2821" t="s">
        <v>399</v>
      </c>
      <c r="F19" s="2821"/>
      <c r="G19" s="469" t="s">
        <v>400</v>
      </c>
      <c r="H19" s="445"/>
      <c r="I19" s="2492">
        <v>42859</v>
      </c>
      <c r="J19" s="2493" t="s">
        <v>2069</v>
      </c>
    </row>
    <row r="20" spans="1:10" ht="18.75" customHeight="1">
      <c r="A20" s="464" t="s">
        <v>401</v>
      </c>
      <c r="B20" s="461"/>
      <c r="C20" s="461"/>
      <c r="D20" s="465"/>
      <c r="E20" s="470"/>
      <c r="F20" s="447"/>
      <c r="G20" s="447"/>
      <c r="H20" s="445"/>
      <c r="I20" s="457"/>
      <c r="J20" s="459"/>
    </row>
    <row r="21" spans="1:10" ht="16.5" customHeight="1">
      <c r="A21" s="2820" t="s">
        <v>402</v>
      </c>
      <c r="B21" s="2820"/>
      <c r="C21" s="2820"/>
      <c r="D21" s="465"/>
      <c r="E21" s="471" t="s">
        <v>403</v>
      </c>
      <c r="F21" s="451"/>
      <c r="G21" s="451"/>
      <c r="H21" s="445"/>
      <c r="I21" s="457"/>
      <c r="J21" s="459"/>
    </row>
    <row r="22" spans="1:10" ht="17.25" customHeight="1">
      <c r="A22" s="2820"/>
      <c r="B22" s="2820"/>
      <c r="C22" s="2820"/>
      <c r="D22" s="465"/>
      <c r="E22" s="2822" t="s">
        <v>404</v>
      </c>
      <c r="F22" s="2822"/>
      <c r="G22" s="2822"/>
      <c r="H22" s="445"/>
      <c r="I22" s="457"/>
      <c r="J22" s="459"/>
    </row>
    <row r="23" spans="1:10" ht="16.5" customHeight="1">
      <c r="A23" s="2820"/>
      <c r="B23" s="2820"/>
      <c r="C23" s="2820"/>
      <c r="D23" s="465"/>
      <c r="E23" s="2822"/>
      <c r="F23" s="2822"/>
      <c r="G23" s="2822"/>
      <c r="H23" s="445"/>
      <c r="I23" s="472"/>
      <c r="J23" s="473"/>
    </row>
    <row r="24" spans="1:10" ht="15.75" customHeight="1">
      <c r="A24" s="464" t="s">
        <v>405</v>
      </c>
      <c r="B24" s="461"/>
      <c r="C24" s="461"/>
      <c r="D24" s="447"/>
      <c r="E24" s="474"/>
      <c r="F24" s="475" t="s">
        <v>1850</v>
      </c>
      <c r="G24" s="447"/>
      <c r="H24" s="445"/>
      <c r="I24" s="476"/>
      <c r="J24" s="476"/>
    </row>
    <row r="25" spans="1:10" ht="15.75" customHeight="1">
      <c r="A25" s="2842" t="s">
        <v>406</v>
      </c>
      <c r="B25" s="2842"/>
      <c r="C25" s="2842"/>
      <c r="D25" s="447"/>
      <c r="E25" s="477"/>
      <c r="F25" s="475" t="s">
        <v>407</v>
      </c>
      <c r="G25" s="447"/>
      <c r="H25" s="445"/>
      <c r="I25" s="476"/>
      <c r="J25" s="476"/>
    </row>
    <row r="26" spans="1:10" ht="15.75" customHeight="1">
      <c r="A26" s="2842"/>
      <c r="B26" s="2842"/>
      <c r="C26" s="2842"/>
      <c r="D26" s="447"/>
      <c r="E26" s="478"/>
      <c r="F26" s="475" t="s">
        <v>408</v>
      </c>
      <c r="G26" s="447"/>
      <c r="H26" s="445"/>
      <c r="I26" s="476"/>
      <c r="J26" s="476"/>
    </row>
    <row r="27" spans="1:10" ht="15.75" customHeight="1">
      <c r="A27" s="2842"/>
      <c r="B27" s="2842"/>
      <c r="C27" s="2842"/>
      <c r="D27" s="447"/>
      <c r="E27" s="479"/>
      <c r="F27" s="2843" t="s">
        <v>1849</v>
      </c>
      <c r="G27" s="2843"/>
      <c r="H27" s="445"/>
      <c r="I27" s="476"/>
      <c r="J27" s="476"/>
    </row>
    <row r="28" spans="1:10" ht="20.25" customHeight="1">
      <c r="A28" s="2842"/>
      <c r="B28" s="2842"/>
      <c r="C28" s="2842"/>
      <c r="D28" s="447"/>
      <c r="E28" s="470"/>
      <c r="F28" s="2843"/>
      <c r="G28" s="2843"/>
      <c r="H28" s="445"/>
      <c r="I28" s="476"/>
      <c r="J28" s="476"/>
    </row>
    <row r="29" spans="1:10" ht="20.25" customHeight="1">
      <c r="A29" s="480" t="s">
        <v>409</v>
      </c>
      <c r="B29" s="451"/>
      <c r="C29" s="451"/>
      <c r="D29" s="447"/>
      <c r="E29" s="481" t="s">
        <v>410</v>
      </c>
      <c r="F29" s="482"/>
      <c r="G29" s="483"/>
      <c r="H29" s="445"/>
      <c r="I29" s="476"/>
      <c r="J29" s="476"/>
    </row>
    <row r="30" spans="1:10" ht="41.25" customHeight="1">
      <c r="A30" s="1924" t="e">
        <f>{#REF!}</f>
        <v>#REF!</v>
      </c>
      <c r="B30" s="2833" t="s">
        <v>411</v>
      </c>
      <c r="C30" s="2833"/>
      <c r="D30" s="447"/>
      <c r="E30" s="2836" t="s">
        <v>1848</v>
      </c>
      <c r="F30" s="2837"/>
      <c r="G30" s="2838"/>
      <c r="H30" s="445"/>
      <c r="I30" s="476"/>
      <c r="J30" s="476"/>
    </row>
    <row r="31" spans="1:10" ht="9" customHeight="1">
      <c r="A31" s="1923"/>
      <c r="B31" s="451"/>
      <c r="C31" s="451"/>
      <c r="D31" s="447"/>
      <c r="E31" s="2836"/>
      <c r="F31" s="2837"/>
      <c r="G31" s="2838"/>
      <c r="H31" s="445"/>
    </row>
    <row r="32" spans="1:10" ht="61.5" customHeight="1">
      <c r="A32" s="1924" t="e">
        <f>{#VALUE!}</f>
        <v>#VALUE!</v>
      </c>
      <c r="B32" s="2834" t="s">
        <v>1847</v>
      </c>
      <c r="C32" s="2835"/>
      <c r="D32" s="447"/>
      <c r="E32" s="2836"/>
      <c r="F32" s="2837"/>
      <c r="G32" s="2838"/>
      <c r="H32" s="445"/>
    </row>
    <row r="33" spans="1:8" ht="9" customHeight="1">
      <c r="A33" s="1923"/>
      <c r="B33" s="451"/>
      <c r="C33" s="451"/>
      <c r="D33" s="447"/>
      <c r="E33" s="2836"/>
      <c r="F33" s="2837"/>
      <c r="G33" s="2838"/>
      <c r="H33" s="445"/>
    </row>
    <row r="34" spans="1:8" ht="38.25" customHeight="1">
      <c r="A34" s="1925" t="e">
        <f>{#N/A}</f>
        <v>#N/A</v>
      </c>
      <c r="B34" s="2833" t="s">
        <v>412</v>
      </c>
      <c r="C34" s="2833"/>
      <c r="D34" s="447"/>
      <c r="E34" s="2839"/>
      <c r="F34" s="2840"/>
      <c r="G34" s="2841"/>
      <c r="H34" s="445"/>
    </row>
    <row r="35" spans="1:8">
      <c r="D35" s="447"/>
      <c r="E35" s="445"/>
      <c r="F35" s="445"/>
      <c r="G35" s="445"/>
      <c r="H35" s="445"/>
    </row>
    <row r="36" spans="1:8">
      <c r="D36" s="447"/>
      <c r="E36" s="445"/>
      <c r="F36" s="445"/>
      <c r="G36" s="445"/>
      <c r="H36" s="445"/>
    </row>
    <row r="37" spans="1:8">
      <c r="A37" s="470"/>
      <c r="B37" s="470"/>
      <c r="C37" s="470"/>
      <c r="D37" s="447"/>
      <c r="E37" s="470"/>
      <c r="F37" s="470"/>
      <c r="G37" s="470"/>
    </row>
    <row r="38" spans="1:8">
      <c r="D38" s="447"/>
    </row>
    <row r="39" spans="1:8">
      <c r="D39" s="447"/>
    </row>
    <row r="41" spans="1:8">
      <c r="D41" s="443"/>
    </row>
    <row r="42" spans="1:8">
      <c r="D42" s="443"/>
    </row>
    <row r="43" spans="1:8" ht="14.25" customHeight="1">
      <c r="D43" s="443"/>
    </row>
    <row r="44" spans="1:8">
      <c r="D44" s="443"/>
    </row>
    <row r="45" spans="1:8">
      <c r="D45" s="443"/>
    </row>
    <row r="46" spans="1:8">
      <c r="D46" s="443"/>
    </row>
    <row r="47" spans="1:8">
      <c r="D47" s="443"/>
    </row>
    <row r="49" spans="4:7" ht="15">
      <c r="D49" s="443"/>
      <c r="E49" s="484"/>
      <c r="F49" s="443"/>
      <c r="G49" s="443"/>
    </row>
    <row r="50" spans="4:7">
      <c r="D50" s="443"/>
      <c r="E50" s="443"/>
      <c r="F50" s="443"/>
      <c r="G50" s="443"/>
    </row>
    <row r="51" spans="4:7" ht="15">
      <c r="D51" s="443"/>
      <c r="E51" s="484"/>
      <c r="F51" s="443"/>
      <c r="G51" s="443"/>
    </row>
    <row r="52" spans="4:7">
      <c r="D52" s="443"/>
      <c r="E52" s="443"/>
      <c r="F52" s="443"/>
      <c r="G52" s="443"/>
    </row>
    <row r="53" spans="4:7" ht="15">
      <c r="D53" s="443"/>
      <c r="E53" s="484"/>
      <c r="F53" s="443"/>
      <c r="G53" s="443"/>
    </row>
    <row r="54" spans="4:7">
      <c r="D54" s="443"/>
      <c r="E54" s="443"/>
      <c r="F54" s="443"/>
      <c r="G54" s="443"/>
    </row>
    <row r="55" spans="4:7" ht="15">
      <c r="D55" s="443"/>
      <c r="E55" s="484"/>
      <c r="F55" s="443"/>
      <c r="G55" s="443"/>
    </row>
  </sheetData>
  <sheetProtection password="CC3A" sheet="1" objects="1" scenarios="1" formatCells="0" formatRows="0"/>
  <mergeCells count="18">
    <mergeCell ref="B30:C30"/>
    <mergeCell ref="B34:C34"/>
    <mergeCell ref="B32:C32"/>
    <mergeCell ref="E30:G34"/>
    <mergeCell ref="A25:C28"/>
    <mergeCell ref="F27:G28"/>
    <mergeCell ref="A1:B1"/>
    <mergeCell ref="E1:F1"/>
    <mergeCell ref="E2:F2"/>
    <mergeCell ref="A4:C7"/>
    <mergeCell ref="E5:G7"/>
    <mergeCell ref="E8:G11"/>
    <mergeCell ref="A10:C13"/>
    <mergeCell ref="A15:C19"/>
    <mergeCell ref="E19:F19"/>
    <mergeCell ref="A21:C23"/>
    <mergeCell ref="E22:G23"/>
    <mergeCell ref="E12:G16"/>
  </mergeCells>
  <hyperlinks>
    <hyperlink ref="G1" location="Betrieb!E10" display="  ►"/>
    <hyperlink ref="E2" r:id="rId1"/>
    <hyperlink ref="G18" r:id="rId2"/>
  </hyperlinks>
  <printOptions horizontalCentered="1" verticalCentered="1"/>
  <pageMargins left="0.47244094488188981" right="0.55118110236220474" top="0.59055118110236227" bottom="0.59055118110236227" header="0.51181102362204722" footer="0.31496062992125984"/>
  <pageSetup paperSize="9" scale="85" firstPageNumber="0" pageOrder="overThenDown" orientation="portrait" blackAndWhite="1" horizontalDpi="300" verticalDpi="300"/>
  <headerFooter alignWithMargins="0">
    <oddHeader xml:space="preserve">&amp;R
</oddHeader>
    <oddFooter>&amp;L&amp;F&amp;C&amp;A&amp;R&amp;P von &amp;N</oddFooter>
  </headerFooter>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AL112"/>
  <sheetViews>
    <sheetView showZeros="0" zoomScale="80" zoomScaleNormal="80" zoomScalePageLayoutView="75" workbookViewId="0">
      <selection activeCell="H2" sqref="H2:H6"/>
    </sheetView>
  </sheetViews>
  <sheetFormatPr baseColWidth="10" defaultRowHeight="12.75"/>
  <cols>
    <col min="1" max="1" width="2" customWidth="1"/>
    <col min="2" max="2" width="22" customWidth="1"/>
    <col min="3" max="3" width="6.28515625" customWidth="1"/>
    <col min="4" max="4" width="7" customWidth="1"/>
    <col min="5" max="5" width="7.42578125" customWidth="1"/>
    <col min="6" max="6" width="7.7109375" customWidth="1"/>
    <col min="7" max="7" width="6.42578125" customWidth="1"/>
    <col min="8" max="24" width="6.28515625" customWidth="1"/>
    <col min="25" max="25" width="2.7109375" customWidth="1"/>
    <col min="26" max="26" width="21.28515625" customWidth="1"/>
    <col min="27" max="29" width="9.42578125" customWidth="1"/>
    <col min="30" max="30" width="7.140625" hidden="1" customWidth="1"/>
    <col min="31" max="31" width="7.42578125" hidden="1" customWidth="1"/>
    <col min="32" max="32" width="7.85546875" customWidth="1"/>
    <col min="33" max="33" width="6.7109375" customWidth="1"/>
    <col min="34" max="34" width="7.140625" customWidth="1"/>
    <col min="35" max="35" width="6.140625" customWidth="1"/>
    <col min="36" max="36" width="23.42578125" customWidth="1"/>
    <col min="37" max="37" width="11.85546875" customWidth="1"/>
    <col min="38" max="40" width="4.140625" customWidth="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23"/>
      <c r="Z1" s="1623"/>
      <c r="AA1" s="1623"/>
      <c r="AB1" s="1623"/>
      <c r="AC1" s="1623"/>
      <c r="AD1" s="1623"/>
      <c r="AE1" s="1623"/>
      <c r="AF1" s="1623"/>
      <c r="AG1" s="1623"/>
      <c r="AH1" s="1623"/>
      <c r="AI1" s="1623"/>
      <c r="AJ1" s="1623"/>
      <c r="AK1" s="1623"/>
      <c r="AL1" s="1623"/>
    </row>
    <row r="2" spans="1:38" ht="21.75" customHeight="1">
      <c r="A2" s="1623"/>
      <c r="B2" s="1624" t="s">
        <v>1774</v>
      </c>
      <c r="C2" s="1624"/>
      <c r="D2" s="1624"/>
      <c r="E2" s="1625"/>
      <c r="F2" s="1625"/>
      <c r="G2" s="3226" t="s">
        <v>1733</v>
      </c>
      <c r="H2" s="3189">
        <f>Z9</f>
        <v>0</v>
      </c>
      <c r="I2" s="3189">
        <f>Z10</f>
        <v>0</v>
      </c>
      <c r="J2" s="3189">
        <f>Z11</f>
        <v>0</v>
      </c>
      <c r="K2" s="3189">
        <f>Z12</f>
        <v>0</v>
      </c>
      <c r="L2" s="3189">
        <f>Z13</f>
        <v>0</v>
      </c>
      <c r="M2" s="3192">
        <f>Z15</f>
        <v>0</v>
      </c>
      <c r="N2" s="3192">
        <f>Z16</f>
        <v>0</v>
      </c>
      <c r="O2" s="3192">
        <f>Z17</f>
        <v>0</v>
      </c>
      <c r="P2" s="3192">
        <f>Z18</f>
        <v>0</v>
      </c>
      <c r="Q2" s="3192">
        <f>Z19</f>
        <v>0</v>
      </c>
      <c r="R2" s="3192">
        <f>Z20</f>
        <v>0</v>
      </c>
      <c r="S2" s="3192">
        <f>Z21</f>
        <v>0</v>
      </c>
      <c r="T2" s="3192">
        <f>Z22</f>
        <v>0</v>
      </c>
      <c r="U2" s="3189">
        <f>Z24</f>
        <v>0</v>
      </c>
      <c r="V2" s="3189">
        <f>Z25</f>
        <v>0</v>
      </c>
      <c r="W2" s="3189">
        <f>Z26</f>
        <v>0</v>
      </c>
      <c r="X2" s="3189">
        <f>Z27</f>
        <v>0</v>
      </c>
      <c r="Y2" s="1623"/>
      <c r="Z2" s="1926" t="s">
        <v>1855</v>
      </c>
      <c r="AA2" s="3209" t="s">
        <v>1856</v>
      </c>
      <c r="AB2" s="3210"/>
      <c r="AC2" s="3199" t="s">
        <v>1778</v>
      </c>
      <c r="AD2" s="3200"/>
      <c r="AE2" s="3200"/>
      <c r="AF2" s="3200"/>
      <c r="AG2" s="3200"/>
      <c r="AH2" s="3200"/>
      <c r="AI2" s="3200"/>
      <c r="AJ2" s="3200"/>
      <c r="AK2" s="3201"/>
      <c r="AL2" s="1623"/>
    </row>
    <row r="3" spans="1:38" ht="27.75" customHeight="1">
      <c r="A3" s="1623"/>
      <c r="B3" s="3225" t="s">
        <v>2132</v>
      </c>
      <c r="C3" s="3225"/>
      <c r="D3" s="3225"/>
      <c r="E3" s="3225"/>
      <c r="F3" s="3225"/>
      <c r="G3" s="3227"/>
      <c r="H3" s="3190"/>
      <c r="I3" s="3190"/>
      <c r="J3" s="3190"/>
      <c r="K3" s="3190"/>
      <c r="L3" s="3190"/>
      <c r="M3" s="3193"/>
      <c r="N3" s="3193"/>
      <c r="O3" s="3193"/>
      <c r="P3" s="3193"/>
      <c r="Q3" s="3193"/>
      <c r="R3" s="3193"/>
      <c r="S3" s="3193"/>
      <c r="T3" s="3193"/>
      <c r="U3" s="3190"/>
      <c r="V3" s="3190"/>
      <c r="W3" s="3190"/>
      <c r="X3" s="3190"/>
      <c r="Y3" s="1623"/>
      <c r="Z3" s="3211" t="s">
        <v>1767</v>
      </c>
      <c r="AA3" s="3212"/>
      <c r="AB3" s="3213"/>
      <c r="AC3" s="3202"/>
      <c r="AD3" s="3203"/>
      <c r="AE3" s="3203"/>
      <c r="AF3" s="3203"/>
      <c r="AG3" s="3203"/>
      <c r="AH3" s="3203"/>
      <c r="AI3" s="3203"/>
      <c r="AJ3" s="3203"/>
      <c r="AK3" s="3204"/>
      <c r="AL3" s="1623"/>
    </row>
    <row r="4" spans="1:38" ht="22.5" customHeight="1">
      <c r="A4" s="1623"/>
      <c r="B4" s="1626" t="s">
        <v>415</v>
      </c>
      <c r="C4" s="3220">
        <f>Betrieb!C3</f>
        <v>0</v>
      </c>
      <c r="D4" s="3221"/>
      <c r="E4" s="3222"/>
      <c r="F4" s="1625"/>
      <c r="G4" s="3227"/>
      <c r="H4" s="3190"/>
      <c r="I4" s="3190"/>
      <c r="J4" s="3190"/>
      <c r="K4" s="3190"/>
      <c r="L4" s="3190"/>
      <c r="M4" s="3193"/>
      <c r="N4" s="3193"/>
      <c r="O4" s="3193"/>
      <c r="P4" s="3193"/>
      <c r="Q4" s="3193"/>
      <c r="R4" s="3193"/>
      <c r="S4" s="3193"/>
      <c r="T4" s="3193"/>
      <c r="U4" s="3190"/>
      <c r="V4" s="3190"/>
      <c r="W4" s="3190"/>
      <c r="X4" s="3190"/>
      <c r="Y4" s="1623"/>
      <c r="Z4" s="3214"/>
      <c r="AA4" s="3215"/>
      <c r="AB4" s="3216"/>
      <c r="AC4" s="3202"/>
      <c r="AD4" s="3203"/>
      <c r="AE4" s="3203"/>
      <c r="AF4" s="3203"/>
      <c r="AG4" s="3203"/>
      <c r="AH4" s="3203"/>
      <c r="AI4" s="3203"/>
      <c r="AJ4" s="3203"/>
      <c r="AK4" s="3204"/>
      <c r="AL4" s="1623"/>
    </row>
    <row r="5" spans="1:38" ht="22.5" customHeight="1">
      <c r="A5" s="1623"/>
      <c r="B5" s="1626" t="s">
        <v>1752</v>
      </c>
      <c r="C5" s="1624"/>
      <c r="D5" s="1627" t="s">
        <v>1428</v>
      </c>
      <c r="E5" s="1628">
        <f>Betrieb!E4</f>
        <v>2017</v>
      </c>
      <c r="F5" s="1625"/>
      <c r="G5" s="3227"/>
      <c r="H5" s="3190"/>
      <c r="I5" s="3190"/>
      <c r="J5" s="3190"/>
      <c r="K5" s="3190"/>
      <c r="L5" s="3190"/>
      <c r="M5" s="3193"/>
      <c r="N5" s="3193"/>
      <c r="O5" s="3193"/>
      <c r="P5" s="3193"/>
      <c r="Q5" s="3193"/>
      <c r="R5" s="3193"/>
      <c r="S5" s="3193"/>
      <c r="T5" s="3193"/>
      <c r="U5" s="3190"/>
      <c r="V5" s="3190"/>
      <c r="W5" s="3190"/>
      <c r="X5" s="3190"/>
      <c r="Y5" s="1623"/>
      <c r="Z5" s="3214"/>
      <c r="AA5" s="3215"/>
      <c r="AB5" s="3216"/>
      <c r="AC5" s="3202"/>
      <c r="AD5" s="3203"/>
      <c r="AE5" s="3203"/>
      <c r="AF5" s="3203"/>
      <c r="AG5" s="3203"/>
      <c r="AH5" s="3203"/>
      <c r="AI5" s="3203"/>
      <c r="AJ5" s="3203"/>
      <c r="AK5" s="3204"/>
      <c r="AL5" s="1623"/>
    </row>
    <row r="6" spans="1:38" ht="22.5" customHeight="1">
      <c r="A6" s="1623"/>
      <c r="B6" s="3223">
        <f>Betrieb!B4</f>
        <v>0</v>
      </c>
      <c r="C6" s="3224"/>
      <c r="D6" s="1627" t="s">
        <v>1751</v>
      </c>
      <c r="E6" s="1628">
        <f>Betrieb!B6</f>
        <v>0</v>
      </c>
      <c r="F6" s="1625"/>
      <c r="G6" s="3228"/>
      <c r="H6" s="3191"/>
      <c r="I6" s="3191"/>
      <c r="J6" s="3191"/>
      <c r="K6" s="3191"/>
      <c r="L6" s="3191"/>
      <c r="M6" s="3194"/>
      <c r="N6" s="3194"/>
      <c r="O6" s="3194"/>
      <c r="P6" s="3194"/>
      <c r="Q6" s="3194"/>
      <c r="R6" s="3194"/>
      <c r="S6" s="3194"/>
      <c r="T6" s="3194"/>
      <c r="U6" s="3191"/>
      <c r="V6" s="3191"/>
      <c r="W6" s="3191"/>
      <c r="X6" s="3191"/>
      <c r="Y6" s="1623"/>
      <c r="Z6" s="3214"/>
      <c r="AA6" s="3215"/>
      <c r="AB6" s="3216"/>
      <c r="AC6" s="3202"/>
      <c r="AD6" s="3203"/>
      <c r="AE6" s="3203"/>
      <c r="AF6" s="3203"/>
      <c r="AG6" s="3203"/>
      <c r="AH6" s="3203"/>
      <c r="AI6" s="3203"/>
      <c r="AJ6" s="3203"/>
      <c r="AK6" s="3204"/>
      <c r="AL6" s="1623"/>
    </row>
    <row r="7" spans="1:38" ht="6" customHeight="1">
      <c r="A7" s="1623"/>
      <c r="B7" s="1629"/>
      <c r="C7" s="1623"/>
      <c r="D7" s="1623"/>
      <c r="E7" s="1623"/>
      <c r="F7" s="1623"/>
      <c r="G7" s="1623"/>
      <c r="H7" s="1630"/>
      <c r="I7" s="1630"/>
      <c r="J7" s="1630"/>
      <c r="K7" s="1630"/>
      <c r="L7" s="1630"/>
      <c r="M7" s="1630"/>
      <c r="N7" s="1630"/>
      <c r="O7" s="1630"/>
      <c r="P7" s="1630"/>
      <c r="Q7" s="1630"/>
      <c r="R7" s="1630"/>
      <c r="S7" s="1630"/>
      <c r="T7" s="1630"/>
      <c r="U7" s="1630"/>
      <c r="V7" s="1630"/>
      <c r="W7" s="1630"/>
      <c r="X7" s="1630"/>
      <c r="Y7" s="1623"/>
      <c r="Z7" s="3217"/>
      <c r="AA7" s="3218"/>
      <c r="AB7" s="3219"/>
      <c r="AC7" s="3205"/>
      <c r="AD7" s="3206"/>
      <c r="AE7" s="3206"/>
      <c r="AF7" s="3206"/>
      <c r="AG7" s="3206"/>
      <c r="AH7" s="3206"/>
      <c r="AI7" s="3206"/>
      <c r="AJ7" s="3206"/>
      <c r="AK7" s="3207"/>
      <c r="AL7" s="1623"/>
    </row>
    <row r="8" spans="1:38" ht="41.25" customHeight="1">
      <c r="A8" s="1623"/>
      <c r="B8" s="1612" t="s">
        <v>1761</v>
      </c>
      <c r="C8" s="1681" t="s">
        <v>424</v>
      </c>
      <c r="D8" s="1631" t="s">
        <v>1734</v>
      </c>
      <c r="E8" s="1631" t="s">
        <v>1735</v>
      </c>
      <c r="F8" s="1632" t="s">
        <v>1737</v>
      </c>
      <c r="G8" s="1632" t="s">
        <v>1736</v>
      </c>
      <c r="H8" s="1788" t="s">
        <v>1772</v>
      </c>
      <c r="I8" s="1634"/>
      <c r="J8" s="1634"/>
      <c r="K8" s="1634"/>
      <c r="L8" s="1766"/>
      <c r="M8" s="1634"/>
      <c r="N8" s="1634"/>
      <c r="O8" s="1634"/>
      <c r="P8" s="1634"/>
      <c r="Q8" s="1634"/>
      <c r="R8" s="1634"/>
      <c r="S8" s="1634"/>
      <c r="T8" s="1634"/>
      <c r="U8" s="1634"/>
      <c r="V8" s="1634"/>
      <c r="W8" s="1634"/>
      <c r="X8" s="1635"/>
      <c r="Y8" s="1623"/>
      <c r="Z8" s="1646" t="s">
        <v>1775</v>
      </c>
      <c r="AA8" s="1754" t="s">
        <v>1742</v>
      </c>
      <c r="AB8" s="1754" t="s">
        <v>1766</v>
      </c>
      <c r="AC8" s="1762" t="s">
        <v>1773</v>
      </c>
      <c r="AD8" s="1757" t="s">
        <v>1739</v>
      </c>
      <c r="AE8" s="1757" t="s">
        <v>1740</v>
      </c>
      <c r="AF8" s="1860" t="s">
        <v>1839</v>
      </c>
      <c r="AG8" s="1860" t="s">
        <v>124</v>
      </c>
      <c r="AH8" s="1860" t="s">
        <v>125</v>
      </c>
      <c r="AI8" s="1622" t="s">
        <v>1741</v>
      </c>
      <c r="AJ8" s="1759" t="s">
        <v>1748</v>
      </c>
      <c r="AK8" s="1763" t="s">
        <v>1753</v>
      </c>
      <c r="AL8" s="1623"/>
    </row>
    <row r="9" spans="1:38" ht="27" customHeight="1">
      <c r="A9" s="1623"/>
      <c r="B9" s="1760">
        <f>N_Bedarf!C5</f>
        <v>0</v>
      </c>
      <c r="C9" s="1680">
        <f>N_Bedarf!E5</f>
        <v>0</v>
      </c>
      <c r="D9" s="1680">
        <f>N_Bedarf!F5</f>
        <v>0</v>
      </c>
      <c r="E9" s="1636">
        <f>N_Bedarf!H5</f>
        <v>0</v>
      </c>
      <c r="F9" s="1637">
        <f t="shared" ref="F9:F22" si="0">G38</f>
        <v>0</v>
      </c>
      <c r="G9" s="1638">
        <f t="shared" ref="G9:G22" si="1">F9-E9</f>
        <v>0</v>
      </c>
      <c r="H9" s="1768"/>
      <c r="I9" s="1768"/>
      <c r="J9" s="1768"/>
      <c r="K9" s="1768"/>
      <c r="L9" s="1768"/>
      <c r="M9" s="1768"/>
      <c r="N9" s="1768"/>
      <c r="O9" s="1768"/>
      <c r="P9" s="1768"/>
      <c r="Q9" s="1768"/>
      <c r="R9" s="1768"/>
      <c r="S9" s="1768"/>
      <c r="T9" s="1768"/>
      <c r="U9" s="1768"/>
      <c r="V9" s="1768"/>
      <c r="W9" s="1768"/>
      <c r="X9" s="1768"/>
      <c r="Y9" s="1753"/>
      <c r="Z9" s="1807"/>
      <c r="AA9" s="1758">
        <f>IF(ISNA(Tabelle1!W159),0,Tabelle1!W159)</f>
        <v>0</v>
      </c>
      <c r="AB9" s="1755">
        <f>H82</f>
        <v>0</v>
      </c>
      <c r="AC9" s="1756">
        <f>IF(AB9=0,0,AA9-AB9)</f>
        <v>0</v>
      </c>
      <c r="AD9" s="1647">
        <f>IF(ISNA(Tabelle1!U159),0,Tabelle1!X159)</f>
        <v>0</v>
      </c>
      <c r="AE9" s="1647">
        <f>IF(ISNA(Tabelle1!U159),0,Tabelle1!Y159)</f>
        <v>0</v>
      </c>
      <c r="AF9" s="1789">
        <f>IF(ISNA(Tabelle1!U159),0,Tabelle1!Z159)</f>
        <v>0</v>
      </c>
      <c r="AG9" s="1789">
        <f>IF(ISNA(Tabelle1!U159),0,Tabelle1!AA159)</f>
        <v>0</v>
      </c>
      <c r="AH9" s="1789">
        <f>IF(ISNA(Tabelle1!U159),0,Tabelle1!AB159)</f>
        <v>0</v>
      </c>
      <c r="AI9" s="1613">
        <f>IF(ISNA(Tabelle1!U159),0,Tabelle1!AC159)</f>
        <v>0</v>
      </c>
      <c r="AJ9" s="1775" t="str">
        <f>IF(AB9&gt;AA9,"Mehr verplant als vorhanden!",IF(AB9&lt;AA9,"Noch Dünger im Bestand!","Ok!"))</f>
        <v>Ok!</v>
      </c>
      <c r="AK9" s="1764">
        <f>H$108</f>
        <v>0</v>
      </c>
      <c r="AL9" s="1623"/>
    </row>
    <row r="10" spans="1:38" ht="27" customHeight="1">
      <c r="A10" s="1623"/>
      <c r="B10" s="1760">
        <f>N_Bedarf!C6</f>
        <v>0</v>
      </c>
      <c r="C10" s="1680">
        <f>N_Bedarf!E6</f>
        <v>0</v>
      </c>
      <c r="D10" s="1680">
        <f>N_Bedarf!F6</f>
        <v>0</v>
      </c>
      <c r="E10" s="1636">
        <f>N_Bedarf!H6</f>
        <v>0</v>
      </c>
      <c r="F10" s="1637">
        <f t="shared" si="0"/>
        <v>0</v>
      </c>
      <c r="G10" s="1638">
        <f t="shared" si="1"/>
        <v>0</v>
      </c>
      <c r="H10" s="1768"/>
      <c r="I10" s="1768"/>
      <c r="J10" s="1768"/>
      <c r="K10" s="1768"/>
      <c r="L10" s="1768"/>
      <c r="M10" s="1768"/>
      <c r="N10" s="1768"/>
      <c r="O10" s="1768"/>
      <c r="P10" s="1768"/>
      <c r="Q10" s="1768"/>
      <c r="R10" s="1768"/>
      <c r="S10" s="1768"/>
      <c r="T10" s="1768"/>
      <c r="U10" s="1768"/>
      <c r="V10" s="1768"/>
      <c r="W10" s="1768"/>
      <c r="X10" s="1768"/>
      <c r="Y10" s="1753"/>
      <c r="Z10" s="1807"/>
      <c r="AA10" s="1758">
        <f>IF(ISNA(Tabelle1!W160),0,Tabelle1!W160)</f>
        <v>0</v>
      </c>
      <c r="AB10" s="1755">
        <f>I82</f>
        <v>0</v>
      </c>
      <c r="AC10" s="1756">
        <f>IF(AB10=0,0,AA10-AB10)</f>
        <v>0</v>
      </c>
      <c r="AD10" s="1647">
        <f>IF(ISNA(Tabelle1!U160),0,Tabelle1!X160)</f>
        <v>0</v>
      </c>
      <c r="AE10" s="1647">
        <f>IF(ISNA(Tabelle1!U160),0,Tabelle1!Y160)</f>
        <v>0</v>
      </c>
      <c r="AF10" s="1789">
        <f>IF(ISNA(Tabelle1!U160),0,Tabelle1!Z160)</f>
        <v>0</v>
      </c>
      <c r="AG10" s="1789">
        <f>IF(ISNA(Tabelle1!U160),0,Tabelle1!AA160)</f>
        <v>0</v>
      </c>
      <c r="AH10" s="1789">
        <f>IF(ISNA(Tabelle1!U160),0,Tabelle1!AB160)</f>
        <v>0</v>
      </c>
      <c r="AI10" s="1613">
        <f>IF(ISNA(Tabelle1!U160),0,Tabelle1!AC160)</f>
        <v>0</v>
      </c>
      <c r="AJ10" s="1775" t="str">
        <f>IF(AB10&gt;AA10,"Mehr verplant als vorhanden!",IF(AB10&lt;AA10,"Noch Dünger im Bestand!","Ok!"))</f>
        <v>Ok!</v>
      </c>
      <c r="AK10" s="1764">
        <f>I$108</f>
        <v>0</v>
      </c>
      <c r="AL10" s="1623"/>
    </row>
    <row r="11" spans="1:38" ht="27" customHeight="1">
      <c r="A11" s="1623"/>
      <c r="B11" s="1760">
        <f>N_Bedarf!C7</f>
        <v>0</v>
      </c>
      <c r="C11" s="1680">
        <f>N_Bedarf!E7</f>
        <v>0</v>
      </c>
      <c r="D11" s="1680">
        <f>N_Bedarf!F7</f>
        <v>0</v>
      </c>
      <c r="E11" s="1636">
        <f>N_Bedarf!H7</f>
        <v>0</v>
      </c>
      <c r="F11" s="1637">
        <f t="shared" si="0"/>
        <v>0</v>
      </c>
      <c r="G11" s="1638">
        <f t="shared" si="1"/>
        <v>0</v>
      </c>
      <c r="H11" s="1768"/>
      <c r="I11" s="1768"/>
      <c r="J11" s="1768"/>
      <c r="K11" s="1768"/>
      <c r="L11" s="1768"/>
      <c r="M11" s="1768"/>
      <c r="N11" s="1768"/>
      <c r="O11" s="1768"/>
      <c r="P11" s="1768"/>
      <c r="Q11" s="1768"/>
      <c r="R11" s="1768"/>
      <c r="S11" s="1768"/>
      <c r="T11" s="1768"/>
      <c r="U11" s="1768"/>
      <c r="V11" s="1768"/>
      <c r="W11" s="1768"/>
      <c r="X11" s="1768"/>
      <c r="Y11" s="1753"/>
      <c r="Z11" s="1807"/>
      <c r="AA11" s="1758">
        <f>IF(ISNA(Tabelle1!W161),0,Tabelle1!W161)</f>
        <v>0</v>
      </c>
      <c r="AB11" s="1755">
        <f>J82</f>
        <v>0</v>
      </c>
      <c r="AC11" s="1756">
        <f>IF(AB11=0,0,AA11-AB11)</f>
        <v>0</v>
      </c>
      <c r="AD11" s="1647">
        <f>IF(ISNA(Tabelle1!U161),0,Tabelle1!X161)</f>
        <v>0</v>
      </c>
      <c r="AE11" s="1647">
        <f>IF(ISNA(Tabelle1!U161),0,Tabelle1!Y161)</f>
        <v>0</v>
      </c>
      <c r="AF11" s="1789">
        <f>IF(ISNA(Tabelle1!U161),0,Tabelle1!Z161)</f>
        <v>0</v>
      </c>
      <c r="AG11" s="1789">
        <f>IF(ISNA(Tabelle1!U161),0,Tabelle1!AA161)</f>
        <v>0</v>
      </c>
      <c r="AH11" s="1789">
        <f>IF(ISNA(Tabelle1!U161),0,Tabelle1!AB161)</f>
        <v>0</v>
      </c>
      <c r="AI11" s="1613">
        <f>IF(ISNA(Tabelle1!U161),0,Tabelle1!AC161)</f>
        <v>0</v>
      </c>
      <c r="AJ11" s="1775" t="str">
        <f>IF(AB11&gt;AA11,"Mehr verplant als vorhanden!",IF(AB11&lt;AA11,"Noch Dünger im Bestand!","Ok!"))</f>
        <v>Ok!</v>
      </c>
      <c r="AK11" s="1764">
        <f>J$108</f>
        <v>0</v>
      </c>
      <c r="AL11" s="1623"/>
    </row>
    <row r="12" spans="1:38" ht="27" customHeight="1">
      <c r="A12" s="1623"/>
      <c r="B12" s="1760">
        <f>N_Bedarf!C8</f>
        <v>0</v>
      </c>
      <c r="C12" s="1680">
        <f>N_Bedarf!E8</f>
        <v>0</v>
      </c>
      <c r="D12" s="1680">
        <f>N_Bedarf!F8</f>
        <v>0</v>
      </c>
      <c r="E12" s="1636">
        <f>N_Bedarf!H8</f>
        <v>0</v>
      </c>
      <c r="F12" s="1637">
        <f t="shared" si="0"/>
        <v>0</v>
      </c>
      <c r="G12" s="1638">
        <f t="shared" si="1"/>
        <v>0</v>
      </c>
      <c r="H12" s="1768"/>
      <c r="I12" s="1768"/>
      <c r="J12" s="1768"/>
      <c r="K12" s="1768"/>
      <c r="L12" s="1768"/>
      <c r="M12" s="1768"/>
      <c r="N12" s="1768"/>
      <c r="O12" s="1768"/>
      <c r="P12" s="1768"/>
      <c r="Q12" s="1768"/>
      <c r="R12" s="1768"/>
      <c r="S12" s="1768"/>
      <c r="T12" s="1768"/>
      <c r="U12" s="1768"/>
      <c r="V12" s="1768"/>
      <c r="W12" s="1768"/>
      <c r="X12" s="1768"/>
      <c r="Y12" s="1753"/>
      <c r="Z12" s="1807"/>
      <c r="AA12" s="1758">
        <f>IF(ISNA(Tabelle1!W162),0,Tabelle1!W162)</f>
        <v>0</v>
      </c>
      <c r="AB12" s="1755">
        <f>K82</f>
        <v>0</v>
      </c>
      <c r="AC12" s="1756">
        <f>IF(AB12=0,0,AA12-AB12)</f>
        <v>0</v>
      </c>
      <c r="AD12" s="1647">
        <f>IF(ISNA(Tabelle1!U162),0,Tabelle1!X162)</f>
        <v>0</v>
      </c>
      <c r="AE12" s="1647">
        <f>IF(ISNA(Tabelle1!U162),0,Tabelle1!Y162)</f>
        <v>0</v>
      </c>
      <c r="AF12" s="1789">
        <f>IF(ISNA(Tabelle1!U162),0,Tabelle1!Z162)</f>
        <v>0</v>
      </c>
      <c r="AG12" s="1789">
        <f>IF(ISNA(Tabelle1!U162),0,Tabelle1!AA162)</f>
        <v>0</v>
      </c>
      <c r="AH12" s="1789">
        <f>IF(ISNA(Tabelle1!U162),0,Tabelle1!AB162)</f>
        <v>0</v>
      </c>
      <c r="AI12" s="1613">
        <f>IF(ISNA(Tabelle1!U162),0,Tabelle1!AC162)</f>
        <v>0</v>
      </c>
      <c r="AJ12" s="1775" t="str">
        <f>IF(AB12&gt;AA12,"Mehr verplant als vorhanden!",IF(AB12&lt;AA12,"Noch Dünger im Bestand!","Ok!"))</f>
        <v>Ok!</v>
      </c>
      <c r="AK12" s="1764">
        <f>K$108</f>
        <v>0</v>
      </c>
      <c r="AL12" s="1623"/>
    </row>
    <row r="13" spans="1:38" ht="27" customHeight="1">
      <c r="A13" s="1623"/>
      <c r="B13" s="1760">
        <f>N_Bedarf!C9</f>
        <v>0</v>
      </c>
      <c r="C13" s="1680">
        <f>N_Bedarf!E9</f>
        <v>0</v>
      </c>
      <c r="D13" s="1680">
        <f>N_Bedarf!F9</f>
        <v>0</v>
      </c>
      <c r="E13" s="1636">
        <f>N_Bedarf!H9</f>
        <v>0</v>
      </c>
      <c r="F13" s="1637">
        <f t="shared" si="0"/>
        <v>0</v>
      </c>
      <c r="G13" s="1638">
        <f t="shared" si="1"/>
        <v>0</v>
      </c>
      <c r="H13" s="1768"/>
      <c r="I13" s="1768"/>
      <c r="J13" s="1768"/>
      <c r="K13" s="1768"/>
      <c r="L13" s="1768"/>
      <c r="M13" s="1768"/>
      <c r="N13" s="1768"/>
      <c r="O13" s="1768"/>
      <c r="P13" s="1768"/>
      <c r="Q13" s="1768"/>
      <c r="R13" s="1768"/>
      <c r="S13" s="1768"/>
      <c r="T13" s="1768"/>
      <c r="U13" s="1768"/>
      <c r="V13" s="1768"/>
      <c r="W13" s="1768"/>
      <c r="X13" s="1768"/>
      <c r="Y13" s="1753"/>
      <c r="Z13" s="1807"/>
      <c r="AA13" s="1758">
        <f>IF(ISNA(Tabelle1!W163),0,Tabelle1!W163)</f>
        <v>0</v>
      </c>
      <c r="AB13" s="1755">
        <f>L82</f>
        <v>0</v>
      </c>
      <c r="AC13" s="1756">
        <f>IF(AB13=0,0,AA13-AB13)</f>
        <v>0</v>
      </c>
      <c r="AD13" s="1647">
        <f>IF(ISNA(Tabelle1!U163),0,Tabelle1!X163)</f>
        <v>0</v>
      </c>
      <c r="AE13" s="1647">
        <f>IF(ISNA(Tabelle1!U163),0,Tabelle1!Y163)</f>
        <v>0</v>
      </c>
      <c r="AF13" s="1789">
        <f>IF(ISNA(Tabelle1!U163),0,Tabelle1!Z163)</f>
        <v>0</v>
      </c>
      <c r="AG13" s="1789">
        <f>IF(ISNA(Tabelle1!U163),0,Tabelle1!AA163)</f>
        <v>0</v>
      </c>
      <c r="AH13" s="1789">
        <f>IF(ISNA(Tabelle1!U163),0,Tabelle1!AB163)</f>
        <v>0</v>
      </c>
      <c r="AI13" s="1613">
        <f>IF(ISNA(Tabelle1!U163),0,Tabelle1!AC163)</f>
        <v>0</v>
      </c>
      <c r="AJ13" s="1775" t="str">
        <f>IF(AB13&gt;AA13,"Mehr verplant als vorhanden!",IF(AB13&lt;AA13,"Noch Dünger im Bestand!","Ok!"))</f>
        <v>Ok!</v>
      </c>
      <c r="AK13" s="1764">
        <f>K$108</f>
        <v>0</v>
      </c>
      <c r="AL13" s="1623"/>
    </row>
    <row r="14" spans="1:38" ht="27" customHeight="1">
      <c r="A14" s="1623"/>
      <c r="B14" s="1760">
        <f>N_Bedarf!C10</f>
        <v>0</v>
      </c>
      <c r="C14" s="1680">
        <f>N_Bedarf!E10</f>
        <v>0</v>
      </c>
      <c r="D14" s="1680">
        <f>N_Bedarf!F10</f>
        <v>0</v>
      </c>
      <c r="E14" s="1636">
        <f>N_Bedarf!H10</f>
        <v>0</v>
      </c>
      <c r="F14" s="1637">
        <f t="shared" si="0"/>
        <v>0</v>
      </c>
      <c r="G14" s="1638">
        <f t="shared" si="1"/>
        <v>0</v>
      </c>
      <c r="H14" s="1768"/>
      <c r="I14" s="1768"/>
      <c r="J14" s="1768"/>
      <c r="K14" s="1768"/>
      <c r="L14" s="1768"/>
      <c r="M14" s="1768"/>
      <c r="N14" s="1768"/>
      <c r="O14" s="1768"/>
      <c r="P14" s="1768"/>
      <c r="Q14" s="1768"/>
      <c r="R14" s="1768"/>
      <c r="S14" s="1768"/>
      <c r="T14" s="1768"/>
      <c r="U14" s="1768"/>
      <c r="V14" s="1768"/>
      <c r="W14" s="1768"/>
      <c r="X14" s="1768"/>
      <c r="Y14" s="1753"/>
      <c r="Z14" s="1797" t="s">
        <v>1747</v>
      </c>
      <c r="AA14" s="1778"/>
      <c r="AB14" s="1778"/>
      <c r="AC14" s="1778"/>
      <c r="AD14" s="1778"/>
      <c r="AE14" s="1778"/>
      <c r="AF14" s="1778"/>
      <c r="AG14" s="1778"/>
      <c r="AH14" s="1778"/>
      <c r="AI14" s="1778"/>
      <c r="AJ14" s="1779"/>
      <c r="AK14" s="1777"/>
      <c r="AL14" s="1623"/>
    </row>
    <row r="15" spans="1:38" ht="27" customHeight="1">
      <c r="A15" s="1623"/>
      <c r="B15" s="1760">
        <f>N_Bedarf!C11</f>
        <v>0</v>
      </c>
      <c r="C15" s="1680">
        <f>N_Bedarf!E11</f>
        <v>0</v>
      </c>
      <c r="D15" s="1680">
        <f>N_Bedarf!F11</f>
        <v>0</v>
      </c>
      <c r="E15" s="1636">
        <f>N_Bedarf!H11</f>
        <v>0</v>
      </c>
      <c r="F15" s="1637">
        <f t="shared" si="0"/>
        <v>0</v>
      </c>
      <c r="G15" s="1638">
        <f t="shared" si="1"/>
        <v>0</v>
      </c>
      <c r="H15" s="1768"/>
      <c r="I15" s="1768"/>
      <c r="J15" s="1768"/>
      <c r="K15" s="1768"/>
      <c r="L15" s="1768"/>
      <c r="M15" s="1768"/>
      <c r="N15" s="1768"/>
      <c r="O15" s="1768"/>
      <c r="P15" s="1768"/>
      <c r="Q15" s="1768"/>
      <c r="R15" s="1768"/>
      <c r="S15" s="1768"/>
      <c r="T15" s="1768"/>
      <c r="U15" s="1768"/>
      <c r="V15" s="1768"/>
      <c r="W15" s="1768"/>
      <c r="X15" s="1768"/>
      <c r="Y15" s="1753"/>
      <c r="Z15" s="1808"/>
      <c r="AA15" s="1758">
        <f>IF(ISNA(Tabelle1!W165),0,Tabelle1!W165)</f>
        <v>0</v>
      </c>
      <c r="AB15" s="1755">
        <f>M82</f>
        <v>0</v>
      </c>
      <c r="AC15" s="1756">
        <f t="shared" ref="AC15:AC22" si="2">IF(AB15=0,0,AA15-AB15)</f>
        <v>0</v>
      </c>
      <c r="AD15" s="1647">
        <f>IF(ISNA(Tabelle1!U165),0,Tabelle1!X165)</f>
        <v>0</v>
      </c>
      <c r="AE15" s="1647">
        <f>IF(ISNA(Tabelle1!U165),0,Tabelle1!Y165)</f>
        <v>0</v>
      </c>
      <c r="AF15" s="1648">
        <f>IF(ISNA(Tabelle1!U165),0,Tabelle1!Z165)</f>
        <v>0</v>
      </c>
      <c r="AG15" s="1648">
        <f>IF(ISNA(Tabelle1!U165),0,Tabelle1!AA165)</f>
        <v>0</v>
      </c>
      <c r="AH15" s="1648">
        <f>IF(ISNA(Tabelle1!U165),0,Tabelle1!AB165)</f>
        <v>0</v>
      </c>
      <c r="AI15" s="1613">
        <f>IF(ISNA(Tabelle1!U165),0,Tabelle1!AC165)</f>
        <v>0</v>
      </c>
      <c r="AJ15" s="1775" t="str">
        <f t="shared" ref="AJ15:AJ22" si="3">IF(AB15&gt;AA15,"Mehr verplant als vorhanden!",IF(AB15&lt;AA15,"Noch Dünger im Bestand!","Ok!"))</f>
        <v>Ok!</v>
      </c>
      <c r="AK15" s="1764">
        <f>M$108</f>
        <v>0</v>
      </c>
      <c r="AL15" s="1623"/>
    </row>
    <row r="16" spans="1:38" ht="27" customHeight="1">
      <c r="A16" s="1623"/>
      <c r="B16" s="1760">
        <f>N_Bedarf!C12</f>
        <v>0</v>
      </c>
      <c r="C16" s="1680">
        <f>N_Bedarf!E12</f>
        <v>0</v>
      </c>
      <c r="D16" s="1680">
        <f>N_Bedarf!F12</f>
        <v>0</v>
      </c>
      <c r="E16" s="1636">
        <f>N_Bedarf!H12</f>
        <v>0</v>
      </c>
      <c r="F16" s="1637">
        <f t="shared" si="0"/>
        <v>0</v>
      </c>
      <c r="G16" s="1638">
        <f t="shared" si="1"/>
        <v>0</v>
      </c>
      <c r="H16" s="1768"/>
      <c r="I16" s="1768"/>
      <c r="J16" s="1768"/>
      <c r="K16" s="1768"/>
      <c r="L16" s="1768"/>
      <c r="M16" s="1768"/>
      <c r="N16" s="1768"/>
      <c r="O16" s="1768"/>
      <c r="P16" s="1768"/>
      <c r="Q16" s="1768"/>
      <c r="R16" s="1768"/>
      <c r="S16" s="1768"/>
      <c r="T16" s="1768"/>
      <c r="U16" s="1768"/>
      <c r="V16" s="1768"/>
      <c r="W16" s="1768"/>
      <c r="X16" s="1768"/>
      <c r="Y16" s="1753"/>
      <c r="Z16" s="1808"/>
      <c r="AA16" s="1758">
        <f>IF(ISNA(Tabelle1!W166),0,Tabelle1!W166)</f>
        <v>0</v>
      </c>
      <c r="AB16" s="1755">
        <f>N82</f>
        <v>0</v>
      </c>
      <c r="AC16" s="1756">
        <f t="shared" si="2"/>
        <v>0</v>
      </c>
      <c r="AD16" s="1647">
        <f>IF(ISNA(Tabelle1!U166),0,Tabelle1!X166)</f>
        <v>0</v>
      </c>
      <c r="AE16" s="1647">
        <f>IF(ISNA(Tabelle1!U166),0,Tabelle1!Y166)</f>
        <v>0</v>
      </c>
      <c r="AF16" s="1648">
        <f>IF(ISNA(Tabelle1!U166),0,Tabelle1!Z166)</f>
        <v>0</v>
      </c>
      <c r="AG16" s="1648">
        <f>IF(ISNA(Tabelle1!U166),0,Tabelle1!AA166)</f>
        <v>0</v>
      </c>
      <c r="AH16" s="1648">
        <f>IF(ISNA(Tabelle1!U166),0,Tabelle1!AB166)</f>
        <v>0</v>
      </c>
      <c r="AI16" s="1613">
        <f>IF(ISNA(Tabelle1!U166),0,Tabelle1!AC166)</f>
        <v>0</v>
      </c>
      <c r="AJ16" s="1775" t="str">
        <f t="shared" si="3"/>
        <v>Ok!</v>
      </c>
      <c r="AK16" s="1764">
        <f>N$108</f>
        <v>0</v>
      </c>
      <c r="AL16" s="1623"/>
    </row>
    <row r="17" spans="1:38" ht="27" customHeight="1">
      <c r="A17" s="1623"/>
      <c r="B17" s="1760">
        <f>N_Bedarf!C13</f>
        <v>0</v>
      </c>
      <c r="C17" s="1680">
        <f>N_Bedarf!E13</f>
        <v>0</v>
      </c>
      <c r="D17" s="1680">
        <f>N_Bedarf!F13</f>
        <v>0</v>
      </c>
      <c r="E17" s="1636">
        <f>N_Bedarf!H13</f>
        <v>0</v>
      </c>
      <c r="F17" s="1637">
        <f t="shared" si="0"/>
        <v>0</v>
      </c>
      <c r="G17" s="1638">
        <f t="shared" si="1"/>
        <v>0</v>
      </c>
      <c r="H17" s="1768"/>
      <c r="I17" s="1768"/>
      <c r="J17" s="1768"/>
      <c r="K17" s="1768"/>
      <c r="L17" s="1768"/>
      <c r="M17" s="1768"/>
      <c r="N17" s="1768"/>
      <c r="O17" s="1768"/>
      <c r="P17" s="1768"/>
      <c r="Q17" s="1768"/>
      <c r="R17" s="1768"/>
      <c r="S17" s="1768"/>
      <c r="T17" s="1768"/>
      <c r="U17" s="1768"/>
      <c r="V17" s="1768"/>
      <c r="W17" s="1768"/>
      <c r="X17" s="1768"/>
      <c r="Y17" s="1753"/>
      <c r="Z17" s="1808"/>
      <c r="AA17" s="1758">
        <f>IF(ISNA(Tabelle1!W167),0,Tabelle1!W167)</f>
        <v>0</v>
      </c>
      <c r="AB17" s="1755">
        <f>O82</f>
        <v>0</v>
      </c>
      <c r="AC17" s="1756">
        <f t="shared" si="2"/>
        <v>0</v>
      </c>
      <c r="AD17" s="1647">
        <f>IF(ISNA(Tabelle1!U167),0,Tabelle1!X167)</f>
        <v>0</v>
      </c>
      <c r="AE17" s="1647">
        <f>IF(ISNA(Tabelle1!U167),0,Tabelle1!Y167)</f>
        <v>0</v>
      </c>
      <c r="AF17" s="1648">
        <f>IF(ISNA(Tabelle1!U167),0,Tabelle1!Z167)</f>
        <v>0</v>
      </c>
      <c r="AG17" s="1648">
        <f>IF(ISNA(Tabelle1!U167),0,Tabelle1!AA167)</f>
        <v>0</v>
      </c>
      <c r="AH17" s="1648">
        <f>IF(ISNA(Tabelle1!U167),0,Tabelle1!AB167)</f>
        <v>0</v>
      </c>
      <c r="AI17" s="1613">
        <f>IF(ISNA(Tabelle1!U167),0,Tabelle1!AC167)</f>
        <v>0</v>
      </c>
      <c r="AJ17" s="1775" t="str">
        <f t="shared" si="3"/>
        <v>Ok!</v>
      </c>
      <c r="AK17" s="1764">
        <f>O$108</f>
        <v>0</v>
      </c>
      <c r="AL17" s="1623"/>
    </row>
    <row r="18" spans="1:38" ht="27" customHeight="1">
      <c r="A18" s="1623"/>
      <c r="B18" s="1760">
        <f>N_Bedarf!C14</f>
        <v>0</v>
      </c>
      <c r="C18" s="1680">
        <f>N_Bedarf!E14</f>
        <v>0</v>
      </c>
      <c r="D18" s="1680">
        <f>N_Bedarf!F14</f>
        <v>0</v>
      </c>
      <c r="E18" s="1636">
        <f>N_Bedarf!H14</f>
        <v>0</v>
      </c>
      <c r="F18" s="1637">
        <f t="shared" si="0"/>
        <v>0</v>
      </c>
      <c r="G18" s="1638">
        <f t="shared" si="1"/>
        <v>0</v>
      </c>
      <c r="H18" s="1768"/>
      <c r="I18" s="1768"/>
      <c r="J18" s="1768"/>
      <c r="K18" s="1768"/>
      <c r="L18" s="1768"/>
      <c r="M18" s="1768"/>
      <c r="N18" s="1768"/>
      <c r="O18" s="1768"/>
      <c r="P18" s="1768"/>
      <c r="Q18" s="1768"/>
      <c r="R18" s="1768"/>
      <c r="S18" s="1768"/>
      <c r="T18" s="1768"/>
      <c r="U18" s="1768"/>
      <c r="V18" s="1768"/>
      <c r="W18" s="1768"/>
      <c r="X18" s="1768"/>
      <c r="Y18" s="1753"/>
      <c r="Z18" s="1808"/>
      <c r="AA18" s="1758">
        <f>IF(ISNA(Tabelle1!W168),0,Tabelle1!W168)</f>
        <v>0</v>
      </c>
      <c r="AB18" s="1755">
        <f>P82</f>
        <v>0</v>
      </c>
      <c r="AC18" s="1756">
        <f t="shared" si="2"/>
        <v>0</v>
      </c>
      <c r="AD18" s="1647">
        <f>IF(ISNA(Tabelle1!U168),0,Tabelle1!X168)</f>
        <v>0</v>
      </c>
      <c r="AE18" s="1647">
        <f>IF(ISNA(Tabelle1!U168),0,Tabelle1!Y168)</f>
        <v>0</v>
      </c>
      <c r="AF18" s="1648">
        <f>IF(ISNA(Tabelle1!U168),0,Tabelle1!Z168)</f>
        <v>0</v>
      </c>
      <c r="AG18" s="1648">
        <f>IF(ISNA(Tabelle1!U168),0,Tabelle1!AA168)</f>
        <v>0</v>
      </c>
      <c r="AH18" s="1648">
        <f>IF(ISNA(Tabelle1!U168),0,Tabelle1!AB168)</f>
        <v>0</v>
      </c>
      <c r="AI18" s="1613">
        <f>IF(ISNA(Tabelle1!U168),0,Tabelle1!AC168)</f>
        <v>0</v>
      </c>
      <c r="AJ18" s="1775" t="str">
        <f t="shared" si="3"/>
        <v>Ok!</v>
      </c>
      <c r="AK18" s="1764">
        <f>P$108</f>
        <v>0</v>
      </c>
      <c r="AL18" s="1623"/>
    </row>
    <row r="19" spans="1:38" ht="27" customHeight="1">
      <c r="A19" s="1623"/>
      <c r="B19" s="1760">
        <f>N_Bedarf!C15</f>
        <v>0</v>
      </c>
      <c r="C19" s="1680">
        <f>N_Bedarf!E15</f>
        <v>0</v>
      </c>
      <c r="D19" s="1680">
        <f>N_Bedarf!F15</f>
        <v>0</v>
      </c>
      <c r="E19" s="1636">
        <f>N_Bedarf!H15</f>
        <v>0</v>
      </c>
      <c r="F19" s="1637">
        <f t="shared" si="0"/>
        <v>0</v>
      </c>
      <c r="G19" s="1638">
        <f t="shared" si="1"/>
        <v>0</v>
      </c>
      <c r="H19" s="1768"/>
      <c r="I19" s="1768"/>
      <c r="J19" s="1768"/>
      <c r="K19" s="1768"/>
      <c r="L19" s="1768"/>
      <c r="M19" s="1768"/>
      <c r="N19" s="1768"/>
      <c r="O19" s="1768"/>
      <c r="P19" s="1768"/>
      <c r="Q19" s="1768"/>
      <c r="R19" s="1768"/>
      <c r="S19" s="1768"/>
      <c r="T19" s="1768"/>
      <c r="U19" s="1768"/>
      <c r="V19" s="1768"/>
      <c r="W19" s="1768"/>
      <c r="X19" s="1768"/>
      <c r="Y19" s="1753"/>
      <c r="Z19" s="1808"/>
      <c r="AA19" s="1758">
        <f>IF(ISNA(Tabelle1!W169),0,Tabelle1!W169)</f>
        <v>0</v>
      </c>
      <c r="AB19" s="1755">
        <f>Q82</f>
        <v>0</v>
      </c>
      <c r="AC19" s="1756">
        <f t="shared" si="2"/>
        <v>0</v>
      </c>
      <c r="AD19" s="1647">
        <f>IF(ISNA(Tabelle1!U169),0,Tabelle1!X169)</f>
        <v>0</v>
      </c>
      <c r="AE19" s="1647">
        <f>IF(ISNA(Tabelle1!U169),0,Tabelle1!Y169)</f>
        <v>0</v>
      </c>
      <c r="AF19" s="1648">
        <f>IF(ISNA(Tabelle1!U169),0,Tabelle1!Z169)</f>
        <v>0</v>
      </c>
      <c r="AG19" s="1648">
        <f>IF(ISNA(Tabelle1!U169),0,Tabelle1!AA169)</f>
        <v>0</v>
      </c>
      <c r="AH19" s="1648">
        <f>IF(ISNA(Tabelle1!U169),0,Tabelle1!AB169)</f>
        <v>0</v>
      </c>
      <c r="AI19" s="1613">
        <f>IF(ISNA(Tabelle1!U169),0,Tabelle1!AC169)</f>
        <v>0</v>
      </c>
      <c r="AJ19" s="1775" t="str">
        <f t="shared" si="3"/>
        <v>Ok!</v>
      </c>
      <c r="AK19" s="1764">
        <f>Q$108</f>
        <v>0</v>
      </c>
      <c r="AL19" s="1623"/>
    </row>
    <row r="20" spans="1:38" ht="27" customHeight="1">
      <c r="A20" s="1623"/>
      <c r="B20" s="1760">
        <f>N_Bedarf!C16</f>
        <v>0</v>
      </c>
      <c r="C20" s="1680">
        <f>N_Bedarf!E16</f>
        <v>0</v>
      </c>
      <c r="D20" s="1680">
        <f>N_Bedarf!F16</f>
        <v>0</v>
      </c>
      <c r="E20" s="1636">
        <f>N_Bedarf!H16</f>
        <v>0</v>
      </c>
      <c r="F20" s="1637">
        <f t="shared" si="0"/>
        <v>0</v>
      </c>
      <c r="G20" s="1638">
        <f t="shared" si="1"/>
        <v>0</v>
      </c>
      <c r="H20" s="1768"/>
      <c r="I20" s="1768"/>
      <c r="J20" s="1768"/>
      <c r="K20" s="1768"/>
      <c r="L20" s="1768"/>
      <c r="M20" s="1768"/>
      <c r="N20" s="1768"/>
      <c r="O20" s="1768"/>
      <c r="P20" s="1768"/>
      <c r="Q20" s="1768"/>
      <c r="R20" s="1768"/>
      <c r="S20" s="1768"/>
      <c r="T20" s="1768"/>
      <c r="U20" s="1768"/>
      <c r="V20" s="1768"/>
      <c r="W20" s="1768"/>
      <c r="X20" s="1768"/>
      <c r="Y20" s="1753"/>
      <c r="Z20" s="1808"/>
      <c r="AA20" s="1758">
        <f>IF(ISNA(Tabelle1!W170),0,Tabelle1!W170)</f>
        <v>0</v>
      </c>
      <c r="AB20" s="1755">
        <f>R82</f>
        <v>0</v>
      </c>
      <c r="AC20" s="1756">
        <f t="shared" si="2"/>
        <v>0</v>
      </c>
      <c r="AD20" s="1647">
        <f>IF(ISNA(Tabelle1!U170),0,Tabelle1!X170)</f>
        <v>0</v>
      </c>
      <c r="AE20" s="1647">
        <f>IF(ISNA(Tabelle1!U170),0,Tabelle1!Y170)</f>
        <v>0</v>
      </c>
      <c r="AF20" s="1648">
        <f>IF(ISNA(Tabelle1!U170),0,Tabelle1!Z170)</f>
        <v>0</v>
      </c>
      <c r="AG20" s="1648">
        <f>IF(ISNA(Tabelle1!U170),0,Tabelle1!AA170)</f>
        <v>0</v>
      </c>
      <c r="AH20" s="1648">
        <f>IF(ISNA(Tabelle1!U170),0,Tabelle1!AB170)</f>
        <v>0</v>
      </c>
      <c r="AI20" s="1613">
        <f>IF(ISNA(Tabelle1!U170),0,Tabelle1!AC170)</f>
        <v>0</v>
      </c>
      <c r="AJ20" s="1775" t="str">
        <f t="shared" si="3"/>
        <v>Ok!</v>
      </c>
      <c r="AK20" s="1764">
        <f>R$108</f>
        <v>0</v>
      </c>
      <c r="AL20" s="1623"/>
    </row>
    <row r="21" spans="1:38" ht="27" customHeight="1">
      <c r="A21" s="1623"/>
      <c r="B21" s="1760">
        <f>N_Bedarf!C17</f>
        <v>0</v>
      </c>
      <c r="C21" s="1680">
        <f>N_Bedarf!E17</f>
        <v>0</v>
      </c>
      <c r="D21" s="1680">
        <f>N_Bedarf!F17</f>
        <v>0</v>
      </c>
      <c r="E21" s="1636">
        <f>N_Bedarf!H17</f>
        <v>0</v>
      </c>
      <c r="F21" s="1637">
        <f t="shared" si="0"/>
        <v>0</v>
      </c>
      <c r="G21" s="1638">
        <f t="shared" si="1"/>
        <v>0</v>
      </c>
      <c r="H21" s="1768"/>
      <c r="I21" s="1768"/>
      <c r="J21" s="1768"/>
      <c r="K21" s="1768"/>
      <c r="L21" s="1768"/>
      <c r="M21" s="1768"/>
      <c r="N21" s="1768"/>
      <c r="O21" s="1768"/>
      <c r="P21" s="1768"/>
      <c r="Q21" s="1768"/>
      <c r="R21" s="1768"/>
      <c r="S21" s="1768"/>
      <c r="T21" s="1768"/>
      <c r="U21" s="1768"/>
      <c r="V21" s="1768"/>
      <c r="W21" s="1768"/>
      <c r="X21" s="1768"/>
      <c r="Y21" s="1753"/>
      <c r="Z21" s="1808"/>
      <c r="AA21" s="1758">
        <f>IF(ISNA(Tabelle1!W171),0,Tabelle1!W171)</f>
        <v>0</v>
      </c>
      <c r="AB21" s="1755">
        <f>S82</f>
        <v>0</v>
      </c>
      <c r="AC21" s="1756">
        <f t="shared" si="2"/>
        <v>0</v>
      </c>
      <c r="AD21" s="1647">
        <f>IF(ISNA(Tabelle1!U171),0,Tabelle1!X171)</f>
        <v>0</v>
      </c>
      <c r="AE21" s="1647">
        <f>IF(ISNA(Tabelle1!U171),0,Tabelle1!Y171)</f>
        <v>0</v>
      </c>
      <c r="AF21" s="1648">
        <f>IF(ISNA(Tabelle1!U171),0,Tabelle1!Z171)</f>
        <v>0</v>
      </c>
      <c r="AG21" s="1648">
        <f>IF(ISNA(Tabelle1!U171),0,Tabelle1!AA171)</f>
        <v>0</v>
      </c>
      <c r="AH21" s="1648">
        <f>IF(ISNA(Tabelle1!U171),0,Tabelle1!AB171)</f>
        <v>0</v>
      </c>
      <c r="AI21" s="1613">
        <f>IF(ISNA(Tabelle1!U171),0,Tabelle1!AC171)</f>
        <v>0</v>
      </c>
      <c r="AJ21" s="1775" t="str">
        <f t="shared" si="3"/>
        <v>Ok!</v>
      </c>
      <c r="AK21" s="1764">
        <f>S$108</f>
        <v>0</v>
      </c>
      <c r="AL21" s="1623"/>
    </row>
    <row r="22" spans="1:38" ht="27" customHeight="1">
      <c r="A22" s="1623"/>
      <c r="B22" s="1760" t="str">
        <f>N_Bedarf!C18</f>
        <v>diverse Grünbrachen zB Biodiv.</v>
      </c>
      <c r="C22" s="1680">
        <f>N_Bedarf!E18</f>
        <v>0</v>
      </c>
      <c r="D22" s="1680">
        <f>N_Bedarf!F18</f>
        <v>0</v>
      </c>
      <c r="E22" s="1636">
        <f>N_Bedarf!H18</f>
        <v>0</v>
      </c>
      <c r="F22" s="1637">
        <f t="shared" si="0"/>
        <v>0</v>
      </c>
      <c r="G22" s="1639">
        <f t="shared" si="1"/>
        <v>0</v>
      </c>
      <c r="H22" s="1769"/>
      <c r="I22" s="1769"/>
      <c r="J22" s="1769"/>
      <c r="K22" s="1769"/>
      <c r="L22" s="1770"/>
      <c r="M22" s="1769"/>
      <c r="N22" s="1769"/>
      <c r="O22" s="1769"/>
      <c r="P22" s="1769"/>
      <c r="Q22" s="1769"/>
      <c r="R22" s="1769"/>
      <c r="S22" s="1769"/>
      <c r="T22" s="1769"/>
      <c r="U22" s="1769"/>
      <c r="V22" s="1769"/>
      <c r="W22" s="1769"/>
      <c r="X22" s="1769"/>
      <c r="Y22" s="1753"/>
      <c r="Z22" s="1808"/>
      <c r="AA22" s="1758">
        <f>IF(ISNA(Tabelle1!W172),0,Tabelle1!W172)</f>
        <v>0</v>
      </c>
      <c r="AB22" s="1755">
        <f>T82</f>
        <v>0</v>
      </c>
      <c r="AC22" s="1756">
        <f t="shared" si="2"/>
        <v>0</v>
      </c>
      <c r="AD22" s="1647">
        <f>IF(ISNA(Tabelle1!U172),0,Tabelle1!X172)</f>
        <v>0</v>
      </c>
      <c r="AE22" s="1647">
        <f>IF(ISNA(Tabelle1!U172),0,Tabelle1!Y172)</f>
        <v>0</v>
      </c>
      <c r="AF22" s="1648">
        <f>IF(ISNA(Tabelle1!U172),0,Tabelle1!Z172)</f>
        <v>0</v>
      </c>
      <c r="AG22" s="1648">
        <f>IF(ISNA(Tabelle1!U172),0,Tabelle1!AA172)</f>
        <v>0</v>
      </c>
      <c r="AH22" s="1648">
        <f>IF(ISNA(Tabelle1!U172),0,Tabelle1!AB172)</f>
        <v>0</v>
      </c>
      <c r="AI22" s="1613">
        <f>IF(ISNA(Tabelle1!U172),0,Tabelle1!AC172)</f>
        <v>0</v>
      </c>
      <c r="AJ22" s="1775" t="str">
        <f t="shared" si="3"/>
        <v>Ok!</v>
      </c>
      <c r="AK22" s="1764">
        <f>T$108</f>
        <v>0</v>
      </c>
      <c r="AL22" s="1623"/>
    </row>
    <row r="23" spans="1:38" ht="22.5" customHeight="1">
      <c r="A23" s="1623"/>
      <c r="B23" s="1682" t="s">
        <v>955</v>
      </c>
      <c r="C23" s="1640"/>
      <c r="D23" s="1641"/>
      <c r="E23" s="1642"/>
      <c r="F23" s="1643"/>
      <c r="G23" s="1644"/>
      <c r="H23" s="1771"/>
      <c r="I23" s="1771"/>
      <c r="J23" s="1771"/>
      <c r="K23" s="1771"/>
      <c r="L23" s="1772"/>
      <c r="M23" s="1771"/>
      <c r="N23" s="1771"/>
      <c r="O23" s="1771"/>
      <c r="P23" s="1771"/>
      <c r="Q23" s="1771"/>
      <c r="R23" s="1771"/>
      <c r="S23" s="1771"/>
      <c r="T23" s="1771"/>
      <c r="U23" s="1771"/>
      <c r="V23" s="1771"/>
      <c r="W23" s="1771"/>
      <c r="X23" s="1773"/>
      <c r="Y23" s="1753"/>
      <c r="Z23" s="1798" t="s">
        <v>1738</v>
      </c>
      <c r="AA23" s="1778"/>
      <c r="AB23" s="1778"/>
      <c r="AC23" s="1778"/>
      <c r="AD23" s="1778"/>
      <c r="AE23" s="1778"/>
      <c r="AF23" s="1778"/>
      <c r="AG23" s="1778"/>
      <c r="AH23" s="1778"/>
      <c r="AI23" s="1778"/>
      <c r="AJ23" s="1779"/>
      <c r="AK23" s="1777"/>
      <c r="AL23" s="1623"/>
    </row>
    <row r="24" spans="1:38" ht="27" customHeight="1">
      <c r="A24" s="1623"/>
      <c r="B24" s="1761">
        <f>N_Bedarf!C20</f>
        <v>0</v>
      </c>
      <c r="C24" s="1680">
        <f>N_Bedarf!E20</f>
        <v>0</v>
      </c>
      <c r="D24" s="1680">
        <f>N_Bedarf!F20</f>
        <v>0</v>
      </c>
      <c r="E24" s="1636">
        <f>N_Bedarf!H20</f>
        <v>0</v>
      </c>
      <c r="F24" s="1637">
        <f t="shared" ref="F24:F29" si="4">G53</f>
        <v>0</v>
      </c>
      <c r="G24" s="1645">
        <f t="shared" ref="G24:G29" si="5">F24-E24</f>
        <v>0</v>
      </c>
      <c r="H24" s="1774"/>
      <c r="I24" s="1774"/>
      <c r="J24" s="1774"/>
      <c r="K24" s="1774"/>
      <c r="L24" s="1774"/>
      <c r="M24" s="1774"/>
      <c r="N24" s="1774"/>
      <c r="O24" s="1774"/>
      <c r="P24" s="1774"/>
      <c r="Q24" s="1774"/>
      <c r="R24" s="1774"/>
      <c r="S24" s="1774"/>
      <c r="T24" s="1774"/>
      <c r="U24" s="1774"/>
      <c r="V24" s="1774"/>
      <c r="W24" s="1774"/>
      <c r="X24" s="1774"/>
      <c r="Y24" s="1753"/>
      <c r="Z24" s="1809"/>
      <c r="AA24" s="1755">
        <f>IF(ISNA(Tabelle1!W174),0,Tabelle1!W174)</f>
        <v>0</v>
      </c>
      <c r="AB24" s="1755">
        <f>U82</f>
        <v>0</v>
      </c>
      <c r="AC24" s="1756">
        <f>IF(AB24=0,0,AA24-AB24)</f>
        <v>0</v>
      </c>
      <c r="AD24" s="1647">
        <f>IF(ISNA(Tabelle1!U174),0,Tabelle1!X174)</f>
        <v>0</v>
      </c>
      <c r="AE24" s="1647">
        <f>IF(ISNA(Tabelle1!U174),0,Tabelle1!Y174)</f>
        <v>0</v>
      </c>
      <c r="AF24" s="1648">
        <f>IF(ISNA(Tabelle1!U174),0,Tabelle1!Z174)</f>
        <v>0</v>
      </c>
      <c r="AG24" s="1648">
        <f>IF(ISNA(Tabelle1!U174),0,Tabelle1!AA174)</f>
        <v>0</v>
      </c>
      <c r="AH24" s="1648">
        <f>IF(ISNA(Tabelle1!U174),0,Tabelle1!AB174)</f>
        <v>0</v>
      </c>
      <c r="AI24" s="1613">
        <f>IF(ISNA(Tabelle1!U174),0,Tabelle1!AC174)</f>
        <v>0</v>
      </c>
      <c r="AJ24" s="1775" t="str">
        <f>IF(AB24&gt;AA24,"Mehr verplant als vorhanden!",IF(AB24&lt;AA24,"Noch Dünger im Bestand!","Ok!"))</f>
        <v>Ok!</v>
      </c>
      <c r="AK24" s="1764">
        <f>U$108</f>
        <v>0</v>
      </c>
      <c r="AL24" s="1623"/>
    </row>
    <row r="25" spans="1:38" ht="27" customHeight="1">
      <c r="A25" s="1623"/>
      <c r="B25" s="1761">
        <f>N_Bedarf!C21</f>
        <v>0</v>
      </c>
      <c r="C25" s="1680">
        <f>N_Bedarf!E21</f>
        <v>0</v>
      </c>
      <c r="D25" s="1680">
        <f>N_Bedarf!F21</f>
        <v>0</v>
      </c>
      <c r="E25" s="1636">
        <f>N_Bedarf!H21</f>
        <v>0</v>
      </c>
      <c r="F25" s="1637">
        <f t="shared" si="4"/>
        <v>0</v>
      </c>
      <c r="G25" s="1638">
        <f t="shared" si="5"/>
        <v>0</v>
      </c>
      <c r="H25" s="1768"/>
      <c r="I25" s="1768"/>
      <c r="J25" s="1768"/>
      <c r="K25" s="1768"/>
      <c r="L25" s="1768"/>
      <c r="M25" s="1768"/>
      <c r="N25" s="1768"/>
      <c r="O25" s="1768"/>
      <c r="P25" s="1768"/>
      <c r="Q25" s="1768"/>
      <c r="R25" s="1768"/>
      <c r="S25" s="1768"/>
      <c r="T25" s="1768"/>
      <c r="U25" s="1768"/>
      <c r="V25" s="1768"/>
      <c r="W25" s="1768"/>
      <c r="X25" s="1768"/>
      <c r="Y25" s="1753"/>
      <c r="Z25" s="1809"/>
      <c r="AA25" s="1755">
        <f>IF(ISNA(Tabelle1!W175),0,Tabelle1!W175)</f>
        <v>0</v>
      </c>
      <c r="AB25" s="1755">
        <f>V82</f>
        <v>0</v>
      </c>
      <c r="AC25" s="1756">
        <f>IF(AB25=0,0,AA25-AB25)</f>
        <v>0</v>
      </c>
      <c r="AD25" s="1649">
        <f>Tabelle1!X175</f>
        <v>0</v>
      </c>
      <c r="AE25" s="1647">
        <f>Tabelle1!Y175</f>
        <v>0</v>
      </c>
      <c r="AF25" s="1648">
        <f>Tabelle1!Z175</f>
        <v>0</v>
      </c>
      <c r="AG25" s="1648">
        <f>Tabelle1!AA175</f>
        <v>0</v>
      </c>
      <c r="AH25" s="1648">
        <f>Tabelle1!AB175</f>
        <v>0</v>
      </c>
      <c r="AI25" s="1613">
        <f>Tabelle1!AC175</f>
        <v>0</v>
      </c>
      <c r="AJ25" s="1775" t="str">
        <f>IF(AB25&gt;AA25,"Mehr verplant als vorhanden!",IF(AB25&lt;AA25,"Noch Dünger im Bestand!","Ok!"))</f>
        <v>Ok!</v>
      </c>
      <c r="AK25" s="1764">
        <f>V$108</f>
        <v>0</v>
      </c>
      <c r="AL25" s="1623"/>
    </row>
    <row r="26" spans="1:38" ht="27" customHeight="1">
      <c r="A26" s="1623"/>
      <c r="B26" s="1761">
        <f>N_Bedarf!C22</f>
        <v>0</v>
      </c>
      <c r="C26" s="1680">
        <f>N_Bedarf!E22</f>
        <v>0</v>
      </c>
      <c r="D26" s="1680">
        <f>N_Bedarf!F22</f>
        <v>0</v>
      </c>
      <c r="E26" s="1636">
        <f>N_Bedarf!H22</f>
        <v>0</v>
      </c>
      <c r="F26" s="1637">
        <f t="shared" si="4"/>
        <v>0</v>
      </c>
      <c r="G26" s="1638">
        <f t="shared" si="5"/>
        <v>0</v>
      </c>
      <c r="H26" s="1768"/>
      <c r="I26" s="1768"/>
      <c r="J26" s="1768"/>
      <c r="K26" s="1768"/>
      <c r="L26" s="1768"/>
      <c r="M26" s="1768"/>
      <c r="N26" s="1768"/>
      <c r="O26" s="1768"/>
      <c r="P26" s="1768"/>
      <c r="Q26" s="1768"/>
      <c r="R26" s="1768"/>
      <c r="S26" s="1768"/>
      <c r="T26" s="1768"/>
      <c r="U26" s="1768"/>
      <c r="V26" s="1768"/>
      <c r="W26" s="1768"/>
      <c r="X26" s="1768"/>
      <c r="Y26" s="1753"/>
      <c r="Z26" s="1809"/>
      <c r="AA26" s="1755">
        <f>IF(ISNA(Tabelle1!W176),0,Tabelle1!W176)</f>
        <v>0</v>
      </c>
      <c r="AB26" s="1755">
        <f>W82</f>
        <v>0</v>
      </c>
      <c r="AC26" s="1756">
        <f>IF(AB26=0,0,AA26-AB26)</f>
        <v>0</v>
      </c>
      <c r="AD26" s="1649">
        <f>Tabelle1!X176</f>
        <v>0</v>
      </c>
      <c r="AE26" s="1647">
        <f>Tabelle1!Y176</f>
        <v>0</v>
      </c>
      <c r="AF26" s="1648">
        <f>Tabelle1!Z176</f>
        <v>0</v>
      </c>
      <c r="AG26" s="1648">
        <f>Tabelle1!AA176</f>
        <v>0</v>
      </c>
      <c r="AH26" s="1648">
        <f>Tabelle1!AB176</f>
        <v>0</v>
      </c>
      <c r="AI26" s="1613">
        <f>Tabelle1!AC176</f>
        <v>0</v>
      </c>
      <c r="AJ26" s="1775" t="str">
        <f>IF(AB26&gt;AA26,"Mehr verplant als vorhanden!",IF(AB26&lt;AA26,"Noch Dünger im Bestand!","Ok!"))</f>
        <v>Ok!</v>
      </c>
      <c r="AK26" s="1764">
        <f>W$108</f>
        <v>0</v>
      </c>
      <c r="AL26" s="1623"/>
    </row>
    <row r="27" spans="1:38" ht="27" customHeight="1">
      <c r="A27" s="1623"/>
      <c r="B27" s="1761">
        <f>N_Bedarf!C23</f>
        <v>0</v>
      </c>
      <c r="C27" s="1680">
        <f>N_Bedarf!E23</f>
        <v>0</v>
      </c>
      <c r="D27" s="1680">
        <f>N_Bedarf!F23</f>
        <v>0</v>
      </c>
      <c r="E27" s="1636">
        <f>N_Bedarf!H23</f>
        <v>0</v>
      </c>
      <c r="F27" s="1637">
        <f t="shared" si="4"/>
        <v>0</v>
      </c>
      <c r="G27" s="1638">
        <f t="shared" si="5"/>
        <v>0</v>
      </c>
      <c r="H27" s="1768"/>
      <c r="I27" s="1768"/>
      <c r="J27" s="1768"/>
      <c r="K27" s="1768"/>
      <c r="L27" s="1768"/>
      <c r="M27" s="1768"/>
      <c r="N27" s="1768"/>
      <c r="O27" s="1768"/>
      <c r="P27" s="1768"/>
      <c r="Q27" s="1768"/>
      <c r="R27" s="1768"/>
      <c r="S27" s="1768"/>
      <c r="T27" s="1768"/>
      <c r="U27" s="1768"/>
      <c r="V27" s="1768"/>
      <c r="W27" s="1768"/>
      <c r="X27" s="1768"/>
      <c r="Y27" s="1753"/>
      <c r="Z27" s="1809"/>
      <c r="AA27" s="1755">
        <f>IF(ISNA(Tabelle1!W177),0,Tabelle1!W177)</f>
        <v>0</v>
      </c>
      <c r="AB27" s="1755">
        <f>X82</f>
        <v>0</v>
      </c>
      <c r="AC27" s="1756">
        <f>IF(AB27=0,0,AA27-AB27)</f>
        <v>0</v>
      </c>
      <c r="AD27" s="1649">
        <f>Tabelle1!X177</f>
        <v>0</v>
      </c>
      <c r="AE27" s="1647">
        <f>Tabelle1!Y177</f>
        <v>0</v>
      </c>
      <c r="AF27" s="1648">
        <f>Tabelle1!Z177</f>
        <v>0</v>
      </c>
      <c r="AG27" s="1648">
        <f>Tabelle1!AA177</f>
        <v>0</v>
      </c>
      <c r="AH27" s="1648">
        <f>Tabelle1!AB177</f>
        <v>0</v>
      </c>
      <c r="AI27" s="1613">
        <f>Tabelle1!AC177</f>
        <v>0</v>
      </c>
      <c r="AJ27" s="1775" t="str">
        <f>IF(AB27&gt;AA27,"Mehr verplant als vorhanden!",IF(AB27&lt;AA27,"Noch Dünger im Bestand!","Ok!"))</f>
        <v>Ok!</v>
      </c>
      <c r="AK27" s="1764">
        <f>X$108</f>
        <v>0</v>
      </c>
      <c r="AL27" s="1623"/>
    </row>
    <row r="28" spans="1:38" ht="29.25" customHeight="1">
      <c r="A28" s="1623"/>
      <c r="B28" s="1761">
        <f>N_Bedarf!C24</f>
        <v>0</v>
      </c>
      <c r="C28" s="1680">
        <f>N_Bedarf!E24</f>
        <v>0</v>
      </c>
      <c r="D28" s="1680">
        <f>N_Bedarf!F24</f>
        <v>0</v>
      </c>
      <c r="E28" s="1636">
        <f>N_Bedarf!H24</f>
        <v>0</v>
      </c>
      <c r="F28" s="1637">
        <f t="shared" si="4"/>
        <v>0</v>
      </c>
      <c r="G28" s="1638">
        <f t="shared" si="5"/>
        <v>0</v>
      </c>
      <c r="H28" s="1768"/>
      <c r="I28" s="1768"/>
      <c r="J28" s="1768"/>
      <c r="K28" s="1768"/>
      <c r="L28" s="1768"/>
      <c r="M28" s="1768"/>
      <c r="N28" s="1768"/>
      <c r="O28" s="1768"/>
      <c r="P28" s="1768"/>
      <c r="Q28" s="1768"/>
      <c r="R28" s="1768"/>
      <c r="S28" s="1768"/>
      <c r="T28" s="1768"/>
      <c r="U28" s="1768"/>
      <c r="V28" s="1768"/>
      <c r="W28" s="1768"/>
      <c r="X28" s="1768"/>
      <c r="Y28" s="1753"/>
      <c r="Z28" s="1650"/>
      <c r="AA28" s="1800"/>
      <c r="AB28" s="1800"/>
      <c r="AC28" s="1800"/>
      <c r="AD28" s="1776"/>
      <c r="AE28" s="1776"/>
      <c r="AF28" s="1776"/>
      <c r="AG28" s="1806" t="s">
        <v>1771</v>
      </c>
      <c r="AH28" s="3195">
        <f>N_Bedarf!L26</f>
        <v>0</v>
      </c>
      <c r="AI28" s="3196"/>
      <c r="AJ28" s="1810" t="s">
        <v>1780</v>
      </c>
      <c r="AK28" s="1765">
        <f>Z108</f>
        <v>0</v>
      </c>
      <c r="AL28" s="1623"/>
    </row>
    <row r="29" spans="1:38" ht="31.5" customHeight="1">
      <c r="A29" s="1623"/>
      <c r="B29" s="1761">
        <f>N_Bedarf!C25</f>
        <v>0</v>
      </c>
      <c r="C29" s="1680">
        <f>N_Bedarf!E25</f>
        <v>0</v>
      </c>
      <c r="D29" s="1680">
        <f>N_Bedarf!F25</f>
        <v>0</v>
      </c>
      <c r="E29" s="1636">
        <f>N_Bedarf!H25</f>
        <v>0</v>
      </c>
      <c r="F29" s="1637">
        <f t="shared" si="4"/>
        <v>0</v>
      </c>
      <c r="G29" s="1638">
        <f t="shared" si="5"/>
        <v>0</v>
      </c>
      <c r="H29" s="1768"/>
      <c r="I29" s="1768"/>
      <c r="J29" s="1768"/>
      <c r="K29" s="1768"/>
      <c r="L29" s="1768"/>
      <c r="M29" s="1768"/>
      <c r="N29" s="1768"/>
      <c r="O29" s="1768"/>
      <c r="P29" s="1768"/>
      <c r="Q29" s="1768"/>
      <c r="R29" s="1768"/>
      <c r="S29" s="1768"/>
      <c r="T29" s="1768"/>
      <c r="U29" s="1768"/>
      <c r="V29" s="1768"/>
      <c r="W29" s="1768"/>
      <c r="X29" s="1768"/>
      <c r="Y29" s="1753"/>
      <c r="Z29" s="1909"/>
      <c r="AA29" s="1910"/>
      <c r="AB29" s="1910"/>
      <c r="AC29" s="1910"/>
      <c r="AD29" s="1911"/>
      <c r="AE29" s="1911"/>
      <c r="AF29" s="1911"/>
      <c r="AG29" s="1912" t="s">
        <v>1769</v>
      </c>
      <c r="AH29" s="3197">
        <f>N_Bedarf!I27</f>
        <v>0</v>
      </c>
      <c r="AI29" s="3198"/>
      <c r="AJ29" s="1913" t="s">
        <v>1779</v>
      </c>
      <c r="AK29" s="1914">
        <f>Z59-N_Bedarf!I26</f>
        <v>0</v>
      </c>
      <c r="AL29" s="1623"/>
    </row>
    <row r="30" spans="1:38" ht="30" customHeight="1">
      <c r="A30" s="1623"/>
      <c r="B30" s="1623"/>
      <c r="C30" s="1623"/>
      <c r="D30" s="1623"/>
      <c r="E30" s="1623"/>
      <c r="F30" s="1623"/>
      <c r="G30" s="1623"/>
      <c r="H30" s="1623"/>
      <c r="I30" s="1623"/>
      <c r="J30" s="1623"/>
      <c r="K30" s="1623"/>
      <c r="L30" s="1623"/>
      <c r="M30" s="1623"/>
      <c r="N30" s="1623"/>
      <c r="O30" s="1623"/>
      <c r="P30" s="1623"/>
      <c r="Q30" s="1623"/>
      <c r="R30" s="1623"/>
      <c r="S30" s="1623"/>
      <c r="T30" s="1623"/>
      <c r="U30" s="1623"/>
      <c r="V30" s="1623"/>
      <c r="W30" s="1623"/>
      <c r="X30" s="1623"/>
      <c r="Y30" s="1623"/>
      <c r="Z30" s="1623"/>
      <c r="AA30" s="1623"/>
      <c r="AB30" s="3208" t="str">
        <f>IF(AND(AA108=0,AK28&gt;AH28),"* Der P-Mindeststandard ist ok, weil kein mineralischer Phosphor im Einsatz!",IF(AND(AA108&gt;0,AK28&gt;AH28),"* Mehr Phosphordünger ist geplant als der P-Bedarf!",""))</f>
        <v/>
      </c>
      <c r="AC30" s="3208"/>
      <c r="AD30" s="3208"/>
      <c r="AE30" s="3208"/>
      <c r="AF30" s="3208"/>
      <c r="AG30" s="3208"/>
      <c r="AH30" s="3208"/>
      <c r="AI30" s="3208"/>
      <c r="AJ30" s="3208"/>
      <c r="AK30" s="3208"/>
      <c r="AL30" s="1908"/>
    </row>
    <row r="31" spans="1:38" ht="24.75" hidden="1" customHeight="1">
      <c r="AL31" s="1604"/>
    </row>
    <row r="32" spans="1:38" ht="54.75" hidden="1" customHeight="1">
      <c r="A32" s="470"/>
      <c r="B32" s="470"/>
      <c r="C32" s="470"/>
      <c r="D32" s="470"/>
      <c r="E32" s="470"/>
      <c r="F32" s="470"/>
      <c r="G32" s="470"/>
      <c r="H32" s="1651">
        <f t="shared" ref="H32:X32" si="6">H2</f>
        <v>0</v>
      </c>
      <c r="I32" s="1651">
        <f t="shared" si="6"/>
        <v>0</v>
      </c>
      <c r="J32" s="1651">
        <f t="shared" si="6"/>
        <v>0</v>
      </c>
      <c r="K32" s="1651">
        <f t="shared" si="6"/>
        <v>0</v>
      </c>
      <c r="L32" s="1651">
        <f t="shared" si="6"/>
        <v>0</v>
      </c>
      <c r="M32" s="1651">
        <f t="shared" si="6"/>
        <v>0</v>
      </c>
      <c r="N32" s="1651">
        <f t="shared" si="6"/>
        <v>0</v>
      </c>
      <c r="O32" s="1651">
        <f t="shared" si="6"/>
        <v>0</v>
      </c>
      <c r="P32" s="1651">
        <f t="shared" si="6"/>
        <v>0</v>
      </c>
      <c r="Q32" s="1651">
        <f t="shared" si="6"/>
        <v>0</v>
      </c>
      <c r="R32" s="1651">
        <f t="shared" si="6"/>
        <v>0</v>
      </c>
      <c r="S32" s="1651">
        <f t="shared" si="6"/>
        <v>0</v>
      </c>
      <c r="T32" s="1651">
        <f t="shared" si="6"/>
        <v>0</v>
      </c>
      <c r="U32" s="1651">
        <f t="shared" si="6"/>
        <v>0</v>
      </c>
      <c r="V32" s="1651">
        <f t="shared" si="6"/>
        <v>0</v>
      </c>
      <c r="W32" s="1651">
        <f t="shared" si="6"/>
        <v>0</v>
      </c>
      <c r="X32" s="1651">
        <f t="shared" si="6"/>
        <v>0</v>
      </c>
      <c r="Y32" s="470"/>
      <c r="AL32" s="1604"/>
    </row>
    <row r="33" spans="1:38" ht="19.5" hidden="1" customHeight="1">
      <c r="A33" s="470"/>
      <c r="B33" s="470"/>
      <c r="C33" s="470"/>
      <c r="D33" s="470"/>
      <c r="E33" s="470"/>
      <c r="F33" s="470"/>
      <c r="G33" s="1652" t="s">
        <v>168</v>
      </c>
      <c r="H33" s="1653">
        <f>AA9</f>
        <v>0</v>
      </c>
      <c r="I33" s="1653">
        <f>AA10</f>
        <v>0</v>
      </c>
      <c r="J33" s="1653">
        <f>AA11</f>
        <v>0</v>
      </c>
      <c r="K33" s="1653">
        <f>AA12</f>
        <v>0</v>
      </c>
      <c r="L33" s="1653">
        <f>AA13</f>
        <v>0</v>
      </c>
      <c r="M33" s="1653">
        <f>AA15</f>
        <v>0</v>
      </c>
      <c r="N33" s="1653">
        <f>AA16</f>
        <v>0</v>
      </c>
      <c r="O33" s="1653">
        <f>AA17</f>
        <v>0</v>
      </c>
      <c r="P33" s="1653">
        <f>AA18</f>
        <v>0</v>
      </c>
      <c r="Q33" s="1653">
        <f>AA19</f>
        <v>0</v>
      </c>
      <c r="R33" s="1653">
        <f>AA20</f>
        <v>0</v>
      </c>
      <c r="S33" s="1653">
        <f>AA21</f>
        <v>0</v>
      </c>
      <c r="T33" s="1653">
        <f>AA22</f>
        <v>0</v>
      </c>
      <c r="U33" s="1653">
        <f>AA24</f>
        <v>0</v>
      </c>
      <c r="V33" s="1653">
        <f>AA25</f>
        <v>0</v>
      </c>
      <c r="W33" s="1653">
        <f>AA26</f>
        <v>0</v>
      </c>
      <c r="X33" s="1653">
        <f>AA27</f>
        <v>0</v>
      </c>
      <c r="Y33" s="470"/>
      <c r="AL33" s="1604"/>
    </row>
    <row r="34" spans="1:38" ht="19.5" hidden="1" customHeight="1">
      <c r="A34" s="470"/>
      <c r="B34" s="470"/>
      <c r="C34" s="470"/>
      <c r="D34" s="470"/>
      <c r="E34" s="470"/>
      <c r="F34" s="470"/>
      <c r="G34" s="1652" t="s">
        <v>377</v>
      </c>
      <c r="H34" s="1654">
        <f>AF9</f>
        <v>0</v>
      </c>
      <c r="I34" s="1654">
        <f>AF10</f>
        <v>0</v>
      </c>
      <c r="J34" s="1654">
        <f>AF11</f>
        <v>0</v>
      </c>
      <c r="K34" s="1654">
        <f>AF12</f>
        <v>0</v>
      </c>
      <c r="L34" s="1654">
        <f>AF13</f>
        <v>0</v>
      </c>
      <c r="M34" s="1654">
        <f>AF15</f>
        <v>0</v>
      </c>
      <c r="N34" s="1654">
        <f>AF16</f>
        <v>0</v>
      </c>
      <c r="O34" s="1654">
        <f>AF17</f>
        <v>0</v>
      </c>
      <c r="P34" s="1654">
        <f>AF18</f>
        <v>0</v>
      </c>
      <c r="Q34" s="1654">
        <f>AF19</f>
        <v>0</v>
      </c>
      <c r="R34" s="1654">
        <f>AF20</f>
        <v>0</v>
      </c>
      <c r="S34" s="1654">
        <f>AF21</f>
        <v>0</v>
      </c>
      <c r="T34" s="1654">
        <f>AF22</f>
        <v>0</v>
      </c>
      <c r="U34" s="1654">
        <f>AF24</f>
        <v>0</v>
      </c>
      <c r="V34" s="1654">
        <f>AF25</f>
        <v>0</v>
      </c>
      <c r="W34" s="1653">
        <f>AF26</f>
        <v>0</v>
      </c>
      <c r="X34" s="1653">
        <f>AF27</f>
        <v>0</v>
      </c>
      <c r="Y34" s="470"/>
      <c r="AL34" s="1604"/>
    </row>
    <row r="35" spans="1:38" ht="19.5" hidden="1" customHeight="1">
      <c r="A35" s="470"/>
      <c r="B35" s="470"/>
      <c r="C35" s="470"/>
      <c r="D35" s="470"/>
      <c r="E35" s="470"/>
      <c r="F35" s="470"/>
      <c r="G35" s="1652" t="s">
        <v>1744</v>
      </c>
      <c r="H35" s="1655">
        <f t="shared" ref="H35:X35" si="7">SUM(H61:H81)</f>
        <v>0</v>
      </c>
      <c r="I35" s="1655">
        <f t="shared" si="7"/>
        <v>0</v>
      </c>
      <c r="J35" s="1655">
        <f t="shared" si="7"/>
        <v>0</v>
      </c>
      <c r="K35" s="1655">
        <f t="shared" si="7"/>
        <v>0</v>
      </c>
      <c r="L35" s="1655">
        <f t="shared" si="7"/>
        <v>0</v>
      </c>
      <c r="M35" s="1655">
        <f t="shared" si="7"/>
        <v>0</v>
      </c>
      <c r="N35" s="1655">
        <f t="shared" si="7"/>
        <v>0</v>
      </c>
      <c r="O35" s="1655">
        <f t="shared" si="7"/>
        <v>0</v>
      </c>
      <c r="P35" s="1655">
        <f t="shared" si="7"/>
        <v>0</v>
      </c>
      <c r="Q35" s="1655">
        <f t="shared" si="7"/>
        <v>0</v>
      </c>
      <c r="R35" s="1655">
        <f t="shared" si="7"/>
        <v>0</v>
      </c>
      <c r="S35" s="1655">
        <f t="shared" si="7"/>
        <v>0</v>
      </c>
      <c r="T35" s="1655">
        <f t="shared" si="7"/>
        <v>0</v>
      </c>
      <c r="U35" s="1655">
        <f t="shared" si="7"/>
        <v>0</v>
      </c>
      <c r="V35" s="1655">
        <f t="shared" si="7"/>
        <v>0</v>
      </c>
      <c r="W35" s="1655">
        <f t="shared" si="7"/>
        <v>0</v>
      </c>
      <c r="X35" s="1655">
        <f t="shared" si="7"/>
        <v>0</v>
      </c>
      <c r="Y35" s="470"/>
      <c r="AL35" s="1604"/>
    </row>
    <row r="36" spans="1:38" hidden="1">
      <c r="A36" s="470"/>
      <c r="B36" s="470"/>
      <c r="C36" s="470"/>
      <c r="D36" s="470"/>
      <c r="E36" s="470"/>
      <c r="F36" s="470"/>
      <c r="G36" s="470"/>
      <c r="H36" s="1784"/>
      <c r="I36" s="1784"/>
      <c r="J36" s="1784"/>
      <c r="K36" s="1784"/>
      <c r="L36" s="1784"/>
      <c r="M36" s="1784"/>
      <c r="N36" s="1784"/>
      <c r="O36" s="1784"/>
      <c r="P36" s="1784"/>
      <c r="Q36" s="1784"/>
      <c r="R36" s="1784"/>
      <c r="S36" s="1784"/>
      <c r="T36" s="1784"/>
      <c r="U36" s="1784"/>
      <c r="V36" s="1784"/>
      <c r="W36" s="1784"/>
      <c r="X36" s="1784"/>
      <c r="Y36" s="470"/>
      <c r="AL36" s="1604"/>
    </row>
    <row r="37" spans="1:38" ht="21" hidden="1" customHeight="1">
      <c r="A37" s="470"/>
      <c r="B37" s="470"/>
      <c r="C37" s="470"/>
      <c r="D37" s="470"/>
      <c r="E37" s="470"/>
      <c r="F37" s="470"/>
      <c r="G37" s="1656" t="s">
        <v>358</v>
      </c>
      <c r="H37" s="1633" t="s">
        <v>1745</v>
      </c>
      <c r="I37" s="1634"/>
      <c r="J37" s="1634"/>
      <c r="K37" s="1634"/>
      <c r="L37" s="1634"/>
      <c r="M37" s="1785"/>
      <c r="N37" s="1785"/>
      <c r="O37" s="1785"/>
      <c r="P37" s="1634"/>
      <c r="Q37" s="1634"/>
      <c r="R37" s="1634"/>
      <c r="S37" s="1634"/>
      <c r="T37" s="1634"/>
      <c r="U37" s="1634"/>
      <c r="V37" s="1634"/>
      <c r="W37" s="1634"/>
      <c r="X37" s="1635"/>
      <c r="Z37" s="1783" t="s">
        <v>1770</v>
      </c>
      <c r="AA37" s="1801"/>
      <c r="AB37" s="1801"/>
      <c r="AC37" s="1801"/>
      <c r="AL37" s="1604"/>
    </row>
    <row r="38" spans="1:38" ht="17.25" hidden="1" customHeight="1">
      <c r="A38" s="470"/>
      <c r="B38" s="470"/>
      <c r="C38" s="470"/>
      <c r="D38" s="470"/>
      <c r="E38" s="470"/>
      <c r="F38" s="1659">
        <f t="shared" ref="F38:F51" si="8">B9</f>
        <v>0</v>
      </c>
      <c r="G38" s="1660">
        <f>SUM(H38:X38)</f>
        <v>0</v>
      </c>
      <c r="H38" s="1661">
        <f t="shared" ref="H38:X38" si="9">H9*H$34</f>
        <v>0</v>
      </c>
      <c r="I38" s="1661">
        <f t="shared" si="9"/>
        <v>0</v>
      </c>
      <c r="J38" s="1661">
        <f t="shared" si="9"/>
        <v>0</v>
      </c>
      <c r="K38" s="1661">
        <f t="shared" si="9"/>
        <v>0</v>
      </c>
      <c r="L38" s="1661">
        <f t="shared" si="9"/>
        <v>0</v>
      </c>
      <c r="M38" s="1661">
        <f t="shared" si="9"/>
        <v>0</v>
      </c>
      <c r="N38" s="1661">
        <f t="shared" si="9"/>
        <v>0</v>
      </c>
      <c r="O38" s="1661">
        <f t="shared" si="9"/>
        <v>0</v>
      </c>
      <c r="P38" s="1661">
        <f t="shared" si="9"/>
        <v>0</v>
      </c>
      <c r="Q38" s="1661">
        <f t="shared" si="9"/>
        <v>0</v>
      </c>
      <c r="R38" s="1661">
        <f t="shared" si="9"/>
        <v>0</v>
      </c>
      <c r="S38" s="1661">
        <f t="shared" si="9"/>
        <v>0</v>
      </c>
      <c r="T38" s="1661">
        <f t="shared" si="9"/>
        <v>0</v>
      </c>
      <c r="U38" s="1661">
        <f t="shared" si="9"/>
        <v>0</v>
      </c>
      <c r="V38" s="1661">
        <f t="shared" si="9"/>
        <v>0</v>
      </c>
      <c r="W38" s="1661">
        <f t="shared" si="9"/>
        <v>0</v>
      </c>
      <c r="X38" s="1661">
        <f t="shared" si="9"/>
        <v>0</v>
      </c>
      <c r="Z38" s="1661">
        <f t="shared" ref="Z38:Z51" si="10">G38*C9</f>
        <v>0</v>
      </c>
      <c r="AA38" s="1802"/>
      <c r="AB38" s="1802"/>
      <c r="AC38" s="1802"/>
      <c r="AL38" s="1604"/>
    </row>
    <row r="39" spans="1:38" ht="17.25" hidden="1" customHeight="1">
      <c r="A39" s="470"/>
      <c r="B39" s="470"/>
      <c r="C39" s="470"/>
      <c r="D39" s="470"/>
      <c r="E39" s="470"/>
      <c r="F39" s="1659">
        <f t="shared" si="8"/>
        <v>0</v>
      </c>
      <c r="G39" s="1660">
        <f t="shared" ref="G39:G51" si="11">SUM(H39:X39)</f>
        <v>0</v>
      </c>
      <c r="H39" s="1661">
        <f t="shared" ref="H39:X39" si="12">H10*H$34</f>
        <v>0</v>
      </c>
      <c r="I39" s="1661">
        <f t="shared" si="12"/>
        <v>0</v>
      </c>
      <c r="J39" s="1661">
        <f t="shared" si="12"/>
        <v>0</v>
      </c>
      <c r="K39" s="1661">
        <f t="shared" si="12"/>
        <v>0</v>
      </c>
      <c r="L39" s="1661">
        <f t="shared" si="12"/>
        <v>0</v>
      </c>
      <c r="M39" s="1661">
        <f t="shared" si="12"/>
        <v>0</v>
      </c>
      <c r="N39" s="1661">
        <f t="shared" si="12"/>
        <v>0</v>
      </c>
      <c r="O39" s="1661">
        <f t="shared" si="12"/>
        <v>0</v>
      </c>
      <c r="P39" s="1661">
        <f t="shared" si="12"/>
        <v>0</v>
      </c>
      <c r="Q39" s="1661">
        <f t="shared" si="12"/>
        <v>0</v>
      </c>
      <c r="R39" s="1661">
        <f t="shared" si="12"/>
        <v>0</v>
      </c>
      <c r="S39" s="1661">
        <f t="shared" si="12"/>
        <v>0</v>
      </c>
      <c r="T39" s="1661">
        <f t="shared" si="12"/>
        <v>0</v>
      </c>
      <c r="U39" s="1661">
        <f t="shared" si="12"/>
        <v>0</v>
      </c>
      <c r="V39" s="1661">
        <f t="shared" si="12"/>
        <v>0</v>
      </c>
      <c r="W39" s="1661">
        <f t="shared" si="12"/>
        <v>0</v>
      </c>
      <c r="X39" s="1661">
        <f t="shared" si="12"/>
        <v>0</v>
      </c>
      <c r="Z39" s="1661">
        <f t="shared" si="10"/>
        <v>0</v>
      </c>
      <c r="AA39" s="1802"/>
      <c r="AB39" s="1802"/>
      <c r="AC39" s="1802"/>
      <c r="AL39" s="1604"/>
    </row>
    <row r="40" spans="1:38" ht="17.25" hidden="1" customHeight="1">
      <c r="A40" s="470"/>
      <c r="B40" s="470"/>
      <c r="C40" s="470"/>
      <c r="D40" s="470"/>
      <c r="E40" s="470"/>
      <c r="F40" s="1659">
        <f t="shared" si="8"/>
        <v>0</v>
      </c>
      <c r="G40" s="1660">
        <f t="shared" si="11"/>
        <v>0</v>
      </c>
      <c r="H40" s="1661">
        <f t="shared" ref="H40:X40" si="13">H11*H$34</f>
        <v>0</v>
      </c>
      <c r="I40" s="1661">
        <f t="shared" si="13"/>
        <v>0</v>
      </c>
      <c r="J40" s="1661">
        <f t="shared" si="13"/>
        <v>0</v>
      </c>
      <c r="K40" s="1661">
        <f t="shared" si="13"/>
        <v>0</v>
      </c>
      <c r="L40" s="1661">
        <f t="shared" si="13"/>
        <v>0</v>
      </c>
      <c r="M40" s="1661">
        <f t="shared" si="13"/>
        <v>0</v>
      </c>
      <c r="N40" s="1661">
        <f t="shared" si="13"/>
        <v>0</v>
      </c>
      <c r="O40" s="1661">
        <f t="shared" si="13"/>
        <v>0</v>
      </c>
      <c r="P40" s="1661">
        <f t="shared" si="13"/>
        <v>0</v>
      </c>
      <c r="Q40" s="1661">
        <f t="shared" si="13"/>
        <v>0</v>
      </c>
      <c r="R40" s="1661">
        <f t="shared" si="13"/>
        <v>0</v>
      </c>
      <c r="S40" s="1661">
        <f t="shared" si="13"/>
        <v>0</v>
      </c>
      <c r="T40" s="1661">
        <f t="shared" si="13"/>
        <v>0</v>
      </c>
      <c r="U40" s="1661">
        <f t="shared" si="13"/>
        <v>0</v>
      </c>
      <c r="V40" s="1661">
        <f t="shared" si="13"/>
        <v>0</v>
      </c>
      <c r="W40" s="1661">
        <f t="shared" si="13"/>
        <v>0</v>
      </c>
      <c r="X40" s="1661">
        <f t="shared" si="13"/>
        <v>0</v>
      </c>
      <c r="Z40" s="1661">
        <f t="shared" si="10"/>
        <v>0</v>
      </c>
      <c r="AA40" s="1802"/>
      <c r="AB40" s="1802"/>
      <c r="AC40" s="1802"/>
      <c r="AL40" s="1604"/>
    </row>
    <row r="41" spans="1:38" ht="17.25" hidden="1" customHeight="1">
      <c r="A41" s="470"/>
      <c r="B41" s="470"/>
      <c r="C41" s="470"/>
      <c r="D41" s="470"/>
      <c r="E41" s="470"/>
      <c r="F41" s="1659">
        <f t="shared" si="8"/>
        <v>0</v>
      </c>
      <c r="G41" s="1660">
        <f t="shared" si="11"/>
        <v>0</v>
      </c>
      <c r="H41" s="1661">
        <f t="shared" ref="H41:X41" si="14">H12*H$34</f>
        <v>0</v>
      </c>
      <c r="I41" s="1661">
        <f t="shared" si="14"/>
        <v>0</v>
      </c>
      <c r="J41" s="1661">
        <f t="shared" si="14"/>
        <v>0</v>
      </c>
      <c r="K41" s="1661">
        <f t="shared" si="14"/>
        <v>0</v>
      </c>
      <c r="L41" s="1661">
        <f t="shared" si="14"/>
        <v>0</v>
      </c>
      <c r="M41" s="1661">
        <f t="shared" si="14"/>
        <v>0</v>
      </c>
      <c r="N41" s="1661">
        <f t="shared" si="14"/>
        <v>0</v>
      </c>
      <c r="O41" s="1661">
        <f t="shared" si="14"/>
        <v>0</v>
      </c>
      <c r="P41" s="1661">
        <f t="shared" si="14"/>
        <v>0</v>
      </c>
      <c r="Q41" s="1661">
        <f t="shared" si="14"/>
        <v>0</v>
      </c>
      <c r="R41" s="1661">
        <f t="shared" si="14"/>
        <v>0</v>
      </c>
      <c r="S41" s="1661">
        <f t="shared" si="14"/>
        <v>0</v>
      </c>
      <c r="T41" s="1661">
        <f t="shared" si="14"/>
        <v>0</v>
      </c>
      <c r="U41" s="1661">
        <f t="shared" si="14"/>
        <v>0</v>
      </c>
      <c r="V41" s="1661">
        <f t="shared" si="14"/>
        <v>0</v>
      </c>
      <c r="W41" s="1661">
        <f t="shared" si="14"/>
        <v>0</v>
      </c>
      <c r="X41" s="1661">
        <f t="shared" si="14"/>
        <v>0</v>
      </c>
      <c r="Z41" s="1661">
        <f t="shared" si="10"/>
        <v>0</v>
      </c>
      <c r="AA41" s="1802"/>
      <c r="AB41" s="1802"/>
      <c r="AC41" s="1802"/>
      <c r="AL41" s="1604"/>
    </row>
    <row r="42" spans="1:38" ht="17.25" hidden="1" customHeight="1">
      <c r="A42" s="470"/>
      <c r="B42" s="470"/>
      <c r="C42" s="470"/>
      <c r="D42" s="470"/>
      <c r="E42" s="470"/>
      <c r="F42" s="1659">
        <f t="shared" si="8"/>
        <v>0</v>
      </c>
      <c r="G42" s="1660">
        <f t="shared" si="11"/>
        <v>0</v>
      </c>
      <c r="H42" s="1661">
        <f t="shared" ref="H42:X42" si="15">H13*H$34</f>
        <v>0</v>
      </c>
      <c r="I42" s="1661">
        <f t="shared" si="15"/>
        <v>0</v>
      </c>
      <c r="J42" s="1661">
        <f t="shared" si="15"/>
        <v>0</v>
      </c>
      <c r="K42" s="1661">
        <f t="shared" si="15"/>
        <v>0</v>
      </c>
      <c r="L42" s="1661">
        <f t="shared" si="15"/>
        <v>0</v>
      </c>
      <c r="M42" s="1661">
        <f t="shared" si="15"/>
        <v>0</v>
      </c>
      <c r="N42" s="1661">
        <f t="shared" si="15"/>
        <v>0</v>
      </c>
      <c r="O42" s="1661">
        <f t="shared" si="15"/>
        <v>0</v>
      </c>
      <c r="P42" s="1661">
        <f t="shared" si="15"/>
        <v>0</v>
      </c>
      <c r="Q42" s="1661">
        <f t="shared" si="15"/>
        <v>0</v>
      </c>
      <c r="R42" s="1661">
        <f t="shared" si="15"/>
        <v>0</v>
      </c>
      <c r="S42" s="1661">
        <f t="shared" si="15"/>
        <v>0</v>
      </c>
      <c r="T42" s="1661">
        <f t="shared" si="15"/>
        <v>0</v>
      </c>
      <c r="U42" s="1661">
        <f t="shared" si="15"/>
        <v>0</v>
      </c>
      <c r="V42" s="1661">
        <f t="shared" si="15"/>
        <v>0</v>
      </c>
      <c r="W42" s="1661">
        <f t="shared" si="15"/>
        <v>0</v>
      </c>
      <c r="X42" s="1661">
        <f t="shared" si="15"/>
        <v>0</v>
      </c>
      <c r="Z42" s="1661">
        <f t="shared" si="10"/>
        <v>0</v>
      </c>
      <c r="AA42" s="1802"/>
      <c r="AB42" s="1802"/>
      <c r="AC42" s="1802"/>
      <c r="AL42" s="1604"/>
    </row>
    <row r="43" spans="1:38" ht="17.25" hidden="1" customHeight="1">
      <c r="A43" s="470"/>
      <c r="B43" s="470"/>
      <c r="C43" s="470"/>
      <c r="D43" s="470"/>
      <c r="E43" s="470"/>
      <c r="F43" s="1659">
        <f t="shared" si="8"/>
        <v>0</v>
      </c>
      <c r="G43" s="1660">
        <f t="shared" si="11"/>
        <v>0</v>
      </c>
      <c r="H43" s="1661">
        <f t="shared" ref="H43:X43" si="16">H14*H$34</f>
        <v>0</v>
      </c>
      <c r="I43" s="1661">
        <f t="shared" si="16"/>
        <v>0</v>
      </c>
      <c r="J43" s="1661">
        <f t="shared" si="16"/>
        <v>0</v>
      </c>
      <c r="K43" s="1661">
        <f t="shared" si="16"/>
        <v>0</v>
      </c>
      <c r="L43" s="1661">
        <f t="shared" si="16"/>
        <v>0</v>
      </c>
      <c r="M43" s="1661">
        <f t="shared" si="16"/>
        <v>0</v>
      </c>
      <c r="N43" s="1661">
        <f t="shared" si="16"/>
        <v>0</v>
      </c>
      <c r="O43" s="1661">
        <f t="shared" si="16"/>
        <v>0</v>
      </c>
      <c r="P43" s="1661">
        <f t="shared" si="16"/>
        <v>0</v>
      </c>
      <c r="Q43" s="1661">
        <f t="shared" si="16"/>
        <v>0</v>
      </c>
      <c r="R43" s="1661">
        <f t="shared" si="16"/>
        <v>0</v>
      </c>
      <c r="S43" s="1661">
        <f t="shared" si="16"/>
        <v>0</v>
      </c>
      <c r="T43" s="1661">
        <f t="shared" si="16"/>
        <v>0</v>
      </c>
      <c r="U43" s="1661">
        <f t="shared" si="16"/>
        <v>0</v>
      </c>
      <c r="V43" s="1661">
        <f t="shared" si="16"/>
        <v>0</v>
      </c>
      <c r="W43" s="1661">
        <f t="shared" si="16"/>
        <v>0</v>
      </c>
      <c r="X43" s="1661">
        <f t="shared" si="16"/>
        <v>0</v>
      </c>
      <c r="Z43" s="1661">
        <f t="shared" si="10"/>
        <v>0</v>
      </c>
      <c r="AA43" s="1802"/>
      <c r="AB43" s="1802"/>
      <c r="AC43" s="1802"/>
      <c r="AL43" s="1604"/>
    </row>
    <row r="44" spans="1:38" ht="17.25" hidden="1" customHeight="1">
      <c r="A44" s="470"/>
      <c r="B44" s="470"/>
      <c r="C44" s="470"/>
      <c r="D44" s="470"/>
      <c r="E44" s="470"/>
      <c r="F44" s="1659">
        <f t="shared" si="8"/>
        <v>0</v>
      </c>
      <c r="G44" s="1660">
        <f t="shared" si="11"/>
        <v>0</v>
      </c>
      <c r="H44" s="1661">
        <f t="shared" ref="H44:X44" si="17">H15*H$34</f>
        <v>0</v>
      </c>
      <c r="I44" s="1661">
        <f t="shared" si="17"/>
        <v>0</v>
      </c>
      <c r="J44" s="1661">
        <f t="shared" si="17"/>
        <v>0</v>
      </c>
      <c r="K44" s="1661">
        <f t="shared" si="17"/>
        <v>0</v>
      </c>
      <c r="L44" s="1661">
        <f t="shared" si="17"/>
        <v>0</v>
      </c>
      <c r="M44" s="1661">
        <f t="shared" si="17"/>
        <v>0</v>
      </c>
      <c r="N44" s="1661">
        <f t="shared" si="17"/>
        <v>0</v>
      </c>
      <c r="O44" s="1661">
        <f t="shared" si="17"/>
        <v>0</v>
      </c>
      <c r="P44" s="1661">
        <f t="shared" si="17"/>
        <v>0</v>
      </c>
      <c r="Q44" s="1661">
        <f t="shared" si="17"/>
        <v>0</v>
      </c>
      <c r="R44" s="1661">
        <f t="shared" si="17"/>
        <v>0</v>
      </c>
      <c r="S44" s="1661">
        <f t="shared" si="17"/>
        <v>0</v>
      </c>
      <c r="T44" s="1661">
        <f t="shared" si="17"/>
        <v>0</v>
      </c>
      <c r="U44" s="1661">
        <f t="shared" si="17"/>
        <v>0</v>
      </c>
      <c r="V44" s="1661">
        <f t="shared" si="17"/>
        <v>0</v>
      </c>
      <c r="W44" s="1661">
        <f t="shared" si="17"/>
        <v>0</v>
      </c>
      <c r="X44" s="1661">
        <f t="shared" si="17"/>
        <v>0</v>
      </c>
      <c r="Z44" s="1661">
        <f t="shared" si="10"/>
        <v>0</v>
      </c>
      <c r="AA44" s="1802"/>
      <c r="AB44" s="1802"/>
      <c r="AC44" s="1802"/>
      <c r="AL44" s="1604"/>
    </row>
    <row r="45" spans="1:38" ht="17.25" hidden="1" customHeight="1">
      <c r="A45" s="470"/>
      <c r="B45" s="470"/>
      <c r="C45" s="470"/>
      <c r="D45" s="470"/>
      <c r="E45" s="470"/>
      <c r="F45" s="1659">
        <f t="shared" si="8"/>
        <v>0</v>
      </c>
      <c r="G45" s="1660">
        <f t="shared" si="11"/>
        <v>0</v>
      </c>
      <c r="H45" s="1661">
        <f t="shared" ref="H45:X45" si="18">H16*H$34</f>
        <v>0</v>
      </c>
      <c r="I45" s="1661">
        <f t="shared" si="18"/>
        <v>0</v>
      </c>
      <c r="J45" s="1661">
        <f t="shared" si="18"/>
        <v>0</v>
      </c>
      <c r="K45" s="1661">
        <f t="shared" si="18"/>
        <v>0</v>
      </c>
      <c r="L45" s="1661">
        <f t="shared" si="18"/>
        <v>0</v>
      </c>
      <c r="M45" s="1661">
        <f t="shared" si="18"/>
        <v>0</v>
      </c>
      <c r="N45" s="1661">
        <f t="shared" si="18"/>
        <v>0</v>
      </c>
      <c r="O45" s="1661">
        <f t="shared" si="18"/>
        <v>0</v>
      </c>
      <c r="P45" s="1661">
        <f t="shared" si="18"/>
        <v>0</v>
      </c>
      <c r="Q45" s="1661">
        <f t="shared" si="18"/>
        <v>0</v>
      </c>
      <c r="R45" s="1661">
        <f t="shared" si="18"/>
        <v>0</v>
      </c>
      <c r="S45" s="1661">
        <f t="shared" si="18"/>
        <v>0</v>
      </c>
      <c r="T45" s="1661">
        <f t="shared" si="18"/>
        <v>0</v>
      </c>
      <c r="U45" s="1661">
        <f t="shared" si="18"/>
        <v>0</v>
      </c>
      <c r="V45" s="1661">
        <f t="shared" si="18"/>
        <v>0</v>
      </c>
      <c r="W45" s="1661">
        <f t="shared" si="18"/>
        <v>0</v>
      </c>
      <c r="X45" s="1661">
        <f t="shared" si="18"/>
        <v>0</v>
      </c>
      <c r="Z45" s="1661">
        <f t="shared" si="10"/>
        <v>0</v>
      </c>
      <c r="AA45" s="1802"/>
      <c r="AB45" s="1802"/>
      <c r="AC45" s="1802"/>
      <c r="AL45" s="1604"/>
    </row>
    <row r="46" spans="1:38" ht="17.25" hidden="1" customHeight="1">
      <c r="A46" s="470"/>
      <c r="B46" s="470"/>
      <c r="C46" s="470"/>
      <c r="D46" s="470"/>
      <c r="E46" s="470"/>
      <c r="F46" s="1659">
        <f t="shared" si="8"/>
        <v>0</v>
      </c>
      <c r="G46" s="1660">
        <f t="shared" si="11"/>
        <v>0</v>
      </c>
      <c r="H46" s="1661">
        <f t="shared" ref="H46:X46" si="19">H17*H$34</f>
        <v>0</v>
      </c>
      <c r="I46" s="1661">
        <f t="shared" si="19"/>
        <v>0</v>
      </c>
      <c r="J46" s="1661">
        <f t="shared" si="19"/>
        <v>0</v>
      </c>
      <c r="K46" s="1661">
        <f t="shared" si="19"/>
        <v>0</v>
      </c>
      <c r="L46" s="1661">
        <f t="shared" si="19"/>
        <v>0</v>
      </c>
      <c r="M46" s="1661">
        <f t="shared" si="19"/>
        <v>0</v>
      </c>
      <c r="N46" s="1661">
        <f t="shared" si="19"/>
        <v>0</v>
      </c>
      <c r="O46" s="1661">
        <f t="shared" si="19"/>
        <v>0</v>
      </c>
      <c r="P46" s="1661">
        <f t="shared" si="19"/>
        <v>0</v>
      </c>
      <c r="Q46" s="1661">
        <f t="shared" si="19"/>
        <v>0</v>
      </c>
      <c r="R46" s="1661">
        <f t="shared" si="19"/>
        <v>0</v>
      </c>
      <c r="S46" s="1661">
        <f t="shared" si="19"/>
        <v>0</v>
      </c>
      <c r="T46" s="1661">
        <f t="shared" si="19"/>
        <v>0</v>
      </c>
      <c r="U46" s="1661">
        <f t="shared" si="19"/>
        <v>0</v>
      </c>
      <c r="V46" s="1661">
        <f t="shared" si="19"/>
        <v>0</v>
      </c>
      <c r="W46" s="1661">
        <f t="shared" si="19"/>
        <v>0</v>
      </c>
      <c r="X46" s="1661">
        <f t="shared" si="19"/>
        <v>0</v>
      </c>
      <c r="Z46" s="1661">
        <f t="shared" si="10"/>
        <v>0</v>
      </c>
      <c r="AA46" s="1802"/>
      <c r="AB46" s="1802"/>
      <c r="AC46" s="1802"/>
      <c r="AL46" s="1604"/>
    </row>
    <row r="47" spans="1:38" ht="17.25" hidden="1" customHeight="1">
      <c r="A47" s="470"/>
      <c r="B47" s="470"/>
      <c r="C47" s="470"/>
      <c r="D47" s="470"/>
      <c r="E47" s="470"/>
      <c r="F47" s="1659">
        <f t="shared" si="8"/>
        <v>0</v>
      </c>
      <c r="G47" s="1660">
        <f t="shared" si="11"/>
        <v>0</v>
      </c>
      <c r="H47" s="1661">
        <f t="shared" ref="H47:X47" si="20">H18*H$34</f>
        <v>0</v>
      </c>
      <c r="I47" s="1661">
        <f t="shared" si="20"/>
        <v>0</v>
      </c>
      <c r="J47" s="1661">
        <f t="shared" si="20"/>
        <v>0</v>
      </c>
      <c r="K47" s="1661">
        <f t="shared" si="20"/>
        <v>0</v>
      </c>
      <c r="L47" s="1661">
        <f t="shared" si="20"/>
        <v>0</v>
      </c>
      <c r="M47" s="1661">
        <f t="shared" si="20"/>
        <v>0</v>
      </c>
      <c r="N47" s="1661">
        <f t="shared" si="20"/>
        <v>0</v>
      </c>
      <c r="O47" s="1661">
        <f t="shared" si="20"/>
        <v>0</v>
      </c>
      <c r="P47" s="1661">
        <f t="shared" si="20"/>
        <v>0</v>
      </c>
      <c r="Q47" s="1661">
        <f t="shared" si="20"/>
        <v>0</v>
      </c>
      <c r="R47" s="1661">
        <f t="shared" si="20"/>
        <v>0</v>
      </c>
      <c r="S47" s="1661">
        <f t="shared" si="20"/>
        <v>0</v>
      </c>
      <c r="T47" s="1661">
        <f t="shared" si="20"/>
        <v>0</v>
      </c>
      <c r="U47" s="1661">
        <f t="shared" si="20"/>
        <v>0</v>
      </c>
      <c r="V47" s="1661">
        <f t="shared" si="20"/>
        <v>0</v>
      </c>
      <c r="W47" s="1661">
        <f t="shared" si="20"/>
        <v>0</v>
      </c>
      <c r="X47" s="1661">
        <f t="shared" si="20"/>
        <v>0</v>
      </c>
      <c r="Z47" s="1661">
        <f t="shared" si="10"/>
        <v>0</v>
      </c>
      <c r="AA47" s="1802"/>
      <c r="AB47" s="1802"/>
      <c r="AC47" s="1802"/>
      <c r="AL47" s="1604"/>
    </row>
    <row r="48" spans="1:38" ht="17.25" hidden="1" customHeight="1">
      <c r="A48" s="470"/>
      <c r="B48" s="470"/>
      <c r="C48" s="470"/>
      <c r="D48" s="1663"/>
      <c r="E48" s="470"/>
      <c r="F48" s="1659">
        <f t="shared" si="8"/>
        <v>0</v>
      </c>
      <c r="G48" s="1660">
        <f t="shared" si="11"/>
        <v>0</v>
      </c>
      <c r="H48" s="1661">
        <f t="shared" ref="H48:X48" si="21">H19*H$34</f>
        <v>0</v>
      </c>
      <c r="I48" s="1661">
        <f t="shared" si="21"/>
        <v>0</v>
      </c>
      <c r="J48" s="1661">
        <f t="shared" si="21"/>
        <v>0</v>
      </c>
      <c r="K48" s="1661">
        <f t="shared" si="21"/>
        <v>0</v>
      </c>
      <c r="L48" s="1661">
        <f t="shared" si="21"/>
        <v>0</v>
      </c>
      <c r="M48" s="1661">
        <f t="shared" si="21"/>
        <v>0</v>
      </c>
      <c r="N48" s="1661">
        <f t="shared" si="21"/>
        <v>0</v>
      </c>
      <c r="O48" s="1661">
        <f t="shared" si="21"/>
        <v>0</v>
      </c>
      <c r="P48" s="1661">
        <f t="shared" si="21"/>
        <v>0</v>
      </c>
      <c r="Q48" s="1661">
        <f t="shared" si="21"/>
        <v>0</v>
      </c>
      <c r="R48" s="1661">
        <f t="shared" si="21"/>
        <v>0</v>
      </c>
      <c r="S48" s="1661">
        <f t="shared" si="21"/>
        <v>0</v>
      </c>
      <c r="T48" s="1661">
        <f t="shared" si="21"/>
        <v>0</v>
      </c>
      <c r="U48" s="1661">
        <f t="shared" si="21"/>
        <v>0</v>
      </c>
      <c r="V48" s="1661">
        <f t="shared" si="21"/>
        <v>0</v>
      </c>
      <c r="W48" s="1661">
        <f t="shared" si="21"/>
        <v>0</v>
      </c>
      <c r="X48" s="1661">
        <f t="shared" si="21"/>
        <v>0</v>
      </c>
      <c r="Z48" s="1661">
        <f t="shared" si="10"/>
        <v>0</v>
      </c>
      <c r="AA48" s="1802"/>
      <c r="AB48" s="1802"/>
      <c r="AC48" s="1802"/>
      <c r="AL48" s="1604"/>
    </row>
    <row r="49" spans="1:38" ht="17.25" hidden="1" customHeight="1">
      <c r="A49" s="470"/>
      <c r="B49" s="470"/>
      <c r="C49" s="470"/>
      <c r="D49" s="470"/>
      <c r="E49" s="470"/>
      <c r="F49" s="1659">
        <f t="shared" si="8"/>
        <v>0</v>
      </c>
      <c r="G49" s="1660">
        <f t="shared" si="11"/>
        <v>0</v>
      </c>
      <c r="H49" s="1661">
        <f t="shared" ref="H49:X49" si="22">H20*H$34</f>
        <v>0</v>
      </c>
      <c r="I49" s="1661">
        <f t="shared" si="22"/>
        <v>0</v>
      </c>
      <c r="J49" s="1661">
        <f t="shared" si="22"/>
        <v>0</v>
      </c>
      <c r="K49" s="1661">
        <f t="shared" si="22"/>
        <v>0</v>
      </c>
      <c r="L49" s="1661">
        <f t="shared" si="22"/>
        <v>0</v>
      </c>
      <c r="M49" s="1661">
        <f t="shared" si="22"/>
        <v>0</v>
      </c>
      <c r="N49" s="1661">
        <f t="shared" si="22"/>
        <v>0</v>
      </c>
      <c r="O49" s="1661">
        <f t="shared" si="22"/>
        <v>0</v>
      </c>
      <c r="P49" s="1661">
        <f t="shared" si="22"/>
        <v>0</v>
      </c>
      <c r="Q49" s="1661">
        <f t="shared" si="22"/>
        <v>0</v>
      </c>
      <c r="R49" s="1661">
        <f t="shared" si="22"/>
        <v>0</v>
      </c>
      <c r="S49" s="1661">
        <f t="shared" si="22"/>
        <v>0</v>
      </c>
      <c r="T49" s="1661">
        <f t="shared" si="22"/>
        <v>0</v>
      </c>
      <c r="U49" s="1661">
        <f t="shared" si="22"/>
        <v>0</v>
      </c>
      <c r="V49" s="1661">
        <f t="shared" si="22"/>
        <v>0</v>
      </c>
      <c r="W49" s="1661">
        <f t="shared" si="22"/>
        <v>0</v>
      </c>
      <c r="X49" s="1661">
        <f t="shared" si="22"/>
        <v>0</v>
      </c>
      <c r="Z49" s="1661">
        <f t="shared" si="10"/>
        <v>0</v>
      </c>
      <c r="AA49" s="1802"/>
      <c r="AB49" s="1802"/>
      <c r="AC49" s="1802"/>
      <c r="AL49" s="1604"/>
    </row>
    <row r="50" spans="1:38" ht="17.25" hidden="1" customHeight="1">
      <c r="A50" s="470"/>
      <c r="B50" s="470"/>
      <c r="C50" s="470"/>
      <c r="D50" s="470"/>
      <c r="E50" s="470"/>
      <c r="F50" s="1659">
        <f t="shared" si="8"/>
        <v>0</v>
      </c>
      <c r="G50" s="1660">
        <f t="shared" si="11"/>
        <v>0</v>
      </c>
      <c r="H50" s="1661">
        <f t="shared" ref="H50:X50" si="23">H21*H$34</f>
        <v>0</v>
      </c>
      <c r="I50" s="1661">
        <f t="shared" si="23"/>
        <v>0</v>
      </c>
      <c r="J50" s="1661">
        <f t="shared" si="23"/>
        <v>0</v>
      </c>
      <c r="K50" s="1661">
        <f t="shared" si="23"/>
        <v>0</v>
      </c>
      <c r="L50" s="1661">
        <f t="shared" si="23"/>
        <v>0</v>
      </c>
      <c r="M50" s="1661">
        <f t="shared" si="23"/>
        <v>0</v>
      </c>
      <c r="N50" s="1661">
        <f t="shared" si="23"/>
        <v>0</v>
      </c>
      <c r="O50" s="1661">
        <f t="shared" si="23"/>
        <v>0</v>
      </c>
      <c r="P50" s="1661">
        <f t="shared" si="23"/>
        <v>0</v>
      </c>
      <c r="Q50" s="1661">
        <f t="shared" si="23"/>
        <v>0</v>
      </c>
      <c r="R50" s="1661">
        <f t="shared" si="23"/>
        <v>0</v>
      </c>
      <c r="S50" s="1661">
        <f t="shared" si="23"/>
        <v>0</v>
      </c>
      <c r="T50" s="1661">
        <f t="shared" si="23"/>
        <v>0</v>
      </c>
      <c r="U50" s="1661">
        <f t="shared" si="23"/>
        <v>0</v>
      </c>
      <c r="V50" s="1661">
        <f t="shared" si="23"/>
        <v>0</v>
      </c>
      <c r="W50" s="1661">
        <f t="shared" si="23"/>
        <v>0</v>
      </c>
      <c r="X50" s="1661">
        <f t="shared" si="23"/>
        <v>0</v>
      </c>
      <c r="Z50" s="1661">
        <f t="shared" si="10"/>
        <v>0</v>
      </c>
      <c r="AA50" s="1802"/>
      <c r="AB50" s="1802"/>
      <c r="AC50" s="1802"/>
      <c r="AL50" s="1604"/>
    </row>
    <row r="51" spans="1:38" ht="17.25" hidden="1" customHeight="1">
      <c r="A51" s="470"/>
      <c r="B51" s="470"/>
      <c r="C51" s="470"/>
      <c r="D51" s="470"/>
      <c r="E51" s="470"/>
      <c r="F51" s="1659" t="str">
        <f t="shared" si="8"/>
        <v>diverse Grünbrachen zB Biodiv.</v>
      </c>
      <c r="G51" s="1660">
        <f t="shared" si="11"/>
        <v>0</v>
      </c>
      <c r="H51" s="1661">
        <f t="shared" ref="H51:X51" si="24">H22*H$34</f>
        <v>0</v>
      </c>
      <c r="I51" s="1661">
        <f t="shared" si="24"/>
        <v>0</v>
      </c>
      <c r="J51" s="1661">
        <f t="shared" si="24"/>
        <v>0</v>
      </c>
      <c r="K51" s="1661">
        <f t="shared" si="24"/>
        <v>0</v>
      </c>
      <c r="L51" s="1661">
        <f t="shared" si="24"/>
        <v>0</v>
      </c>
      <c r="M51" s="1661">
        <f t="shared" si="24"/>
        <v>0</v>
      </c>
      <c r="N51" s="1661">
        <f t="shared" si="24"/>
        <v>0</v>
      </c>
      <c r="O51" s="1661">
        <f t="shared" si="24"/>
        <v>0</v>
      </c>
      <c r="P51" s="1661">
        <f t="shared" si="24"/>
        <v>0</v>
      </c>
      <c r="Q51" s="1661">
        <f t="shared" si="24"/>
        <v>0</v>
      </c>
      <c r="R51" s="1661">
        <f t="shared" si="24"/>
        <v>0</v>
      </c>
      <c r="S51" s="1661">
        <f t="shared" si="24"/>
        <v>0</v>
      </c>
      <c r="T51" s="1661">
        <f t="shared" si="24"/>
        <v>0</v>
      </c>
      <c r="U51" s="1661">
        <f t="shared" si="24"/>
        <v>0</v>
      </c>
      <c r="V51" s="1661">
        <f t="shared" si="24"/>
        <v>0</v>
      </c>
      <c r="W51" s="1661">
        <f t="shared" si="24"/>
        <v>0</v>
      </c>
      <c r="X51" s="1661">
        <f t="shared" si="24"/>
        <v>0</v>
      </c>
      <c r="Z51" s="1661">
        <f t="shared" si="10"/>
        <v>0</v>
      </c>
      <c r="AA51" s="1802"/>
      <c r="AB51" s="1802"/>
      <c r="AC51" s="1802"/>
      <c r="AL51" s="1604"/>
    </row>
    <row r="52" spans="1:38" ht="8.25" hidden="1" customHeight="1">
      <c r="A52" s="470"/>
      <c r="B52" s="470"/>
      <c r="C52" s="470"/>
      <c r="D52" s="470"/>
      <c r="E52" s="470"/>
      <c r="F52" s="1659"/>
      <c r="G52" s="1664"/>
      <c r="H52" s="1665"/>
      <c r="I52" s="1665"/>
      <c r="J52" s="1665"/>
      <c r="K52" s="1665"/>
      <c r="L52" s="1665"/>
      <c r="M52" s="1665"/>
      <c r="N52" s="1665"/>
      <c r="O52" s="1665"/>
      <c r="P52" s="1665"/>
      <c r="Q52" s="1665"/>
      <c r="R52" s="1665"/>
      <c r="S52" s="1665"/>
      <c r="T52" s="1665"/>
      <c r="U52" s="1665"/>
      <c r="V52" s="1665"/>
      <c r="W52" s="1665"/>
      <c r="X52" s="1665"/>
      <c r="Z52" s="1786"/>
      <c r="AA52" s="1786"/>
      <c r="AB52" s="1786"/>
      <c r="AC52" s="1786"/>
      <c r="AL52" s="1604"/>
    </row>
    <row r="53" spans="1:38" ht="17.25" hidden="1" customHeight="1">
      <c r="A53" s="470"/>
      <c r="B53" s="470"/>
      <c r="C53" s="470"/>
      <c r="D53" s="470"/>
      <c r="E53" s="470"/>
      <c r="F53" s="1659">
        <f t="shared" ref="F53:F58" si="25">B24</f>
        <v>0</v>
      </c>
      <c r="G53" s="1660">
        <f>SUM(H53:X53)</f>
        <v>0</v>
      </c>
      <c r="H53" s="1661">
        <f t="shared" ref="H53:X53" si="26">H24*H$34</f>
        <v>0</v>
      </c>
      <c r="I53" s="1661">
        <f t="shared" si="26"/>
        <v>0</v>
      </c>
      <c r="J53" s="1661">
        <f t="shared" si="26"/>
        <v>0</v>
      </c>
      <c r="K53" s="1661">
        <f t="shared" si="26"/>
        <v>0</v>
      </c>
      <c r="L53" s="1661">
        <f t="shared" si="26"/>
        <v>0</v>
      </c>
      <c r="M53" s="1661">
        <f t="shared" si="26"/>
        <v>0</v>
      </c>
      <c r="N53" s="1661">
        <f t="shared" si="26"/>
        <v>0</v>
      </c>
      <c r="O53" s="1661">
        <f t="shared" si="26"/>
        <v>0</v>
      </c>
      <c r="P53" s="1661">
        <f t="shared" si="26"/>
        <v>0</v>
      </c>
      <c r="Q53" s="1661">
        <f t="shared" si="26"/>
        <v>0</v>
      </c>
      <c r="R53" s="1661">
        <f t="shared" si="26"/>
        <v>0</v>
      </c>
      <c r="S53" s="1661">
        <f t="shared" si="26"/>
        <v>0</v>
      </c>
      <c r="T53" s="1661">
        <f t="shared" si="26"/>
        <v>0</v>
      </c>
      <c r="U53" s="1661">
        <f t="shared" si="26"/>
        <v>0</v>
      </c>
      <c r="V53" s="1661">
        <f t="shared" si="26"/>
        <v>0</v>
      </c>
      <c r="W53" s="1661">
        <f t="shared" si="26"/>
        <v>0</v>
      </c>
      <c r="X53" s="1661">
        <f t="shared" si="26"/>
        <v>0</v>
      </c>
      <c r="Z53" s="1661">
        <f t="shared" ref="Z53:Z58" si="27">G53*C24</f>
        <v>0</v>
      </c>
      <c r="AA53" s="1802"/>
      <c r="AB53" s="1802"/>
      <c r="AC53" s="1802"/>
      <c r="AL53" s="1604"/>
    </row>
    <row r="54" spans="1:38" ht="17.25" hidden="1" customHeight="1">
      <c r="A54" s="470"/>
      <c r="B54" s="470"/>
      <c r="C54" s="470"/>
      <c r="D54" s="470"/>
      <c r="E54" s="470"/>
      <c r="F54" s="1659">
        <f t="shared" si="25"/>
        <v>0</v>
      </c>
      <c r="G54" s="1660">
        <f t="shared" ref="G54:G58" si="28">SUM(H54:X54)</f>
        <v>0</v>
      </c>
      <c r="H54" s="1661">
        <f t="shared" ref="H54:X54" si="29">H25*H$34</f>
        <v>0</v>
      </c>
      <c r="I54" s="1661">
        <f t="shared" si="29"/>
        <v>0</v>
      </c>
      <c r="J54" s="1661">
        <f t="shared" si="29"/>
        <v>0</v>
      </c>
      <c r="K54" s="1661">
        <f t="shared" si="29"/>
        <v>0</v>
      </c>
      <c r="L54" s="1661">
        <f t="shared" si="29"/>
        <v>0</v>
      </c>
      <c r="M54" s="1661">
        <f t="shared" si="29"/>
        <v>0</v>
      </c>
      <c r="N54" s="1661">
        <f t="shared" si="29"/>
        <v>0</v>
      </c>
      <c r="O54" s="1661">
        <f t="shared" si="29"/>
        <v>0</v>
      </c>
      <c r="P54" s="1661">
        <f t="shared" si="29"/>
        <v>0</v>
      </c>
      <c r="Q54" s="1661">
        <f t="shared" si="29"/>
        <v>0</v>
      </c>
      <c r="R54" s="1661">
        <f t="shared" si="29"/>
        <v>0</v>
      </c>
      <c r="S54" s="1661">
        <f t="shared" si="29"/>
        <v>0</v>
      </c>
      <c r="T54" s="1661">
        <f t="shared" si="29"/>
        <v>0</v>
      </c>
      <c r="U54" s="1661">
        <f t="shared" si="29"/>
        <v>0</v>
      </c>
      <c r="V54" s="1661">
        <f t="shared" si="29"/>
        <v>0</v>
      </c>
      <c r="W54" s="1661">
        <f t="shared" si="29"/>
        <v>0</v>
      </c>
      <c r="X54" s="1661">
        <f t="shared" si="29"/>
        <v>0</v>
      </c>
      <c r="Z54" s="1661">
        <f t="shared" si="27"/>
        <v>0</v>
      </c>
      <c r="AA54" s="1802"/>
      <c r="AB54" s="1802"/>
      <c r="AC54" s="1802"/>
      <c r="AL54" s="1604"/>
    </row>
    <row r="55" spans="1:38" ht="17.25" hidden="1" customHeight="1">
      <c r="A55" s="470"/>
      <c r="B55" s="470"/>
      <c r="C55" s="470"/>
      <c r="D55" s="470"/>
      <c r="E55" s="470"/>
      <c r="F55" s="1659">
        <f t="shared" si="25"/>
        <v>0</v>
      </c>
      <c r="G55" s="1660">
        <f t="shared" si="28"/>
        <v>0</v>
      </c>
      <c r="H55" s="1661">
        <f t="shared" ref="H55:X55" si="30">H26*H$34</f>
        <v>0</v>
      </c>
      <c r="I55" s="1661">
        <f t="shared" si="30"/>
        <v>0</v>
      </c>
      <c r="J55" s="1661">
        <f t="shared" si="30"/>
        <v>0</v>
      </c>
      <c r="K55" s="1661">
        <f t="shared" si="30"/>
        <v>0</v>
      </c>
      <c r="L55" s="1661">
        <f t="shared" si="30"/>
        <v>0</v>
      </c>
      <c r="M55" s="1661">
        <f t="shared" si="30"/>
        <v>0</v>
      </c>
      <c r="N55" s="1661">
        <f t="shared" si="30"/>
        <v>0</v>
      </c>
      <c r="O55" s="1661">
        <f t="shared" si="30"/>
        <v>0</v>
      </c>
      <c r="P55" s="1661">
        <f t="shared" si="30"/>
        <v>0</v>
      </c>
      <c r="Q55" s="1661">
        <f t="shared" si="30"/>
        <v>0</v>
      </c>
      <c r="R55" s="1661">
        <f t="shared" si="30"/>
        <v>0</v>
      </c>
      <c r="S55" s="1661">
        <f t="shared" si="30"/>
        <v>0</v>
      </c>
      <c r="T55" s="1661">
        <f t="shared" si="30"/>
        <v>0</v>
      </c>
      <c r="U55" s="1661">
        <f t="shared" si="30"/>
        <v>0</v>
      </c>
      <c r="V55" s="1661">
        <f t="shared" si="30"/>
        <v>0</v>
      </c>
      <c r="W55" s="1661">
        <f t="shared" si="30"/>
        <v>0</v>
      </c>
      <c r="X55" s="1661">
        <f t="shared" si="30"/>
        <v>0</v>
      </c>
      <c r="Z55" s="1661">
        <f t="shared" si="27"/>
        <v>0</v>
      </c>
      <c r="AA55" s="1802"/>
      <c r="AB55" s="1802"/>
      <c r="AC55" s="1802"/>
      <c r="AL55" s="1604"/>
    </row>
    <row r="56" spans="1:38" ht="17.25" hidden="1" customHeight="1">
      <c r="A56" s="470"/>
      <c r="B56" s="470"/>
      <c r="C56" s="470"/>
      <c r="D56" s="470"/>
      <c r="E56" s="470"/>
      <c r="F56" s="1659">
        <f t="shared" si="25"/>
        <v>0</v>
      </c>
      <c r="G56" s="1660">
        <f t="shared" si="28"/>
        <v>0</v>
      </c>
      <c r="H56" s="1661">
        <f t="shared" ref="H56:X56" si="31">H27*H$34</f>
        <v>0</v>
      </c>
      <c r="I56" s="1661">
        <f t="shared" si="31"/>
        <v>0</v>
      </c>
      <c r="J56" s="1661">
        <f t="shared" si="31"/>
        <v>0</v>
      </c>
      <c r="K56" s="1661">
        <f t="shared" si="31"/>
        <v>0</v>
      </c>
      <c r="L56" s="1661">
        <f t="shared" si="31"/>
        <v>0</v>
      </c>
      <c r="M56" s="1661">
        <f t="shared" si="31"/>
        <v>0</v>
      </c>
      <c r="N56" s="1661">
        <f t="shared" si="31"/>
        <v>0</v>
      </c>
      <c r="O56" s="1661">
        <f t="shared" si="31"/>
        <v>0</v>
      </c>
      <c r="P56" s="1661">
        <f t="shared" si="31"/>
        <v>0</v>
      </c>
      <c r="Q56" s="1661">
        <f t="shared" si="31"/>
        <v>0</v>
      </c>
      <c r="R56" s="1661">
        <f t="shared" si="31"/>
        <v>0</v>
      </c>
      <c r="S56" s="1661">
        <f t="shared" si="31"/>
        <v>0</v>
      </c>
      <c r="T56" s="1661">
        <f t="shared" si="31"/>
        <v>0</v>
      </c>
      <c r="U56" s="1661">
        <f t="shared" si="31"/>
        <v>0</v>
      </c>
      <c r="V56" s="1661">
        <f t="shared" si="31"/>
        <v>0</v>
      </c>
      <c r="W56" s="1661">
        <f t="shared" si="31"/>
        <v>0</v>
      </c>
      <c r="X56" s="1661">
        <f t="shared" si="31"/>
        <v>0</v>
      </c>
      <c r="Z56" s="1661">
        <f t="shared" si="27"/>
        <v>0</v>
      </c>
      <c r="AA56" s="1802"/>
      <c r="AB56" s="1802"/>
      <c r="AC56" s="1802"/>
      <c r="AL56" s="1604"/>
    </row>
    <row r="57" spans="1:38" ht="17.25" hidden="1" customHeight="1">
      <c r="A57" s="470"/>
      <c r="B57" s="470"/>
      <c r="C57" s="470"/>
      <c r="D57" s="470"/>
      <c r="E57" s="470"/>
      <c r="F57" s="1659">
        <f t="shared" si="25"/>
        <v>0</v>
      </c>
      <c r="G57" s="1660">
        <f t="shared" si="28"/>
        <v>0</v>
      </c>
      <c r="H57" s="1661">
        <f t="shared" ref="H57:X57" si="32">H28*H$34</f>
        <v>0</v>
      </c>
      <c r="I57" s="1661">
        <f t="shared" si="32"/>
        <v>0</v>
      </c>
      <c r="J57" s="1661">
        <f t="shared" si="32"/>
        <v>0</v>
      </c>
      <c r="K57" s="1661">
        <f t="shared" si="32"/>
        <v>0</v>
      </c>
      <c r="L57" s="1661">
        <f t="shared" si="32"/>
        <v>0</v>
      </c>
      <c r="M57" s="1661">
        <f t="shared" si="32"/>
        <v>0</v>
      </c>
      <c r="N57" s="1661">
        <f t="shared" si="32"/>
        <v>0</v>
      </c>
      <c r="O57" s="1661">
        <f t="shared" si="32"/>
        <v>0</v>
      </c>
      <c r="P57" s="1661">
        <f t="shared" si="32"/>
        <v>0</v>
      </c>
      <c r="Q57" s="1661">
        <f t="shared" si="32"/>
        <v>0</v>
      </c>
      <c r="R57" s="1661">
        <f t="shared" si="32"/>
        <v>0</v>
      </c>
      <c r="S57" s="1661">
        <f t="shared" si="32"/>
        <v>0</v>
      </c>
      <c r="T57" s="1661">
        <f t="shared" si="32"/>
        <v>0</v>
      </c>
      <c r="U57" s="1661">
        <f t="shared" si="32"/>
        <v>0</v>
      </c>
      <c r="V57" s="1661">
        <f t="shared" si="32"/>
        <v>0</v>
      </c>
      <c r="W57" s="1661">
        <f t="shared" si="32"/>
        <v>0</v>
      </c>
      <c r="X57" s="1661">
        <f t="shared" si="32"/>
        <v>0</v>
      </c>
      <c r="Z57" s="1661">
        <f t="shared" si="27"/>
        <v>0</v>
      </c>
      <c r="AA57" s="1802"/>
      <c r="AB57" s="1802"/>
      <c r="AC57" s="1802"/>
      <c r="AL57" s="1604"/>
    </row>
    <row r="58" spans="1:38" ht="17.25" hidden="1" customHeight="1">
      <c r="A58" s="470"/>
      <c r="B58" s="470"/>
      <c r="C58" s="470"/>
      <c r="D58" s="470"/>
      <c r="E58" s="470"/>
      <c r="F58" s="1659">
        <f t="shared" si="25"/>
        <v>0</v>
      </c>
      <c r="G58" s="1660">
        <f t="shared" si="28"/>
        <v>0</v>
      </c>
      <c r="H58" s="1661">
        <f t="shared" ref="H58:X58" si="33">H29*H$34</f>
        <v>0</v>
      </c>
      <c r="I58" s="1661">
        <f t="shared" si="33"/>
        <v>0</v>
      </c>
      <c r="J58" s="1661">
        <f t="shared" si="33"/>
        <v>0</v>
      </c>
      <c r="K58" s="1661">
        <f t="shared" si="33"/>
        <v>0</v>
      </c>
      <c r="L58" s="1661">
        <f t="shared" si="33"/>
        <v>0</v>
      </c>
      <c r="M58" s="1661">
        <f t="shared" si="33"/>
        <v>0</v>
      </c>
      <c r="N58" s="1661">
        <f t="shared" si="33"/>
        <v>0</v>
      </c>
      <c r="O58" s="1661">
        <f t="shared" si="33"/>
        <v>0</v>
      </c>
      <c r="P58" s="1661">
        <f t="shared" si="33"/>
        <v>0</v>
      </c>
      <c r="Q58" s="1661">
        <f t="shared" si="33"/>
        <v>0</v>
      </c>
      <c r="R58" s="1661">
        <f t="shared" si="33"/>
        <v>0</v>
      </c>
      <c r="S58" s="1661">
        <f t="shared" si="33"/>
        <v>0</v>
      </c>
      <c r="T58" s="1661">
        <f t="shared" si="33"/>
        <v>0</v>
      </c>
      <c r="U58" s="1661">
        <f t="shared" si="33"/>
        <v>0</v>
      </c>
      <c r="V58" s="1661">
        <f t="shared" si="33"/>
        <v>0</v>
      </c>
      <c r="W58" s="1661">
        <f t="shared" si="33"/>
        <v>0</v>
      </c>
      <c r="X58" s="1661">
        <f t="shared" si="33"/>
        <v>0</v>
      </c>
      <c r="Z58" s="1661">
        <f t="shared" si="27"/>
        <v>0</v>
      </c>
      <c r="AA58" s="1802"/>
      <c r="AB58" s="1802"/>
      <c r="AC58" s="1802"/>
      <c r="AL58" s="1604"/>
    </row>
    <row r="59" spans="1:38" ht="20.25" hidden="1" customHeight="1">
      <c r="A59" s="470"/>
      <c r="B59" s="470"/>
      <c r="C59" s="470"/>
      <c r="D59" s="470"/>
      <c r="E59" s="470"/>
      <c r="F59" s="470"/>
      <c r="G59" s="470"/>
      <c r="H59" s="783"/>
      <c r="I59" s="783"/>
      <c r="J59" s="783"/>
      <c r="K59" s="783"/>
      <c r="L59" s="783"/>
      <c r="M59" s="783"/>
      <c r="N59" s="783"/>
      <c r="O59" s="783"/>
      <c r="P59" s="783"/>
      <c r="Q59" s="783"/>
      <c r="R59" s="783"/>
      <c r="S59" s="783"/>
      <c r="T59" s="783"/>
      <c r="U59" s="783"/>
      <c r="V59" s="783"/>
      <c r="W59" s="783"/>
      <c r="X59" s="783"/>
      <c r="Y59" s="470"/>
      <c r="Z59" s="1787">
        <f>SUM(Z38:Z58)</f>
        <v>0</v>
      </c>
      <c r="AA59" s="1803"/>
      <c r="AB59" s="1803"/>
      <c r="AC59" s="1803"/>
      <c r="AL59" s="1604"/>
    </row>
    <row r="60" spans="1:38" ht="15" hidden="1">
      <c r="A60" s="470"/>
      <c r="B60" s="470"/>
      <c r="C60" s="470"/>
      <c r="D60" s="470"/>
      <c r="E60" s="470"/>
      <c r="F60" s="1634"/>
      <c r="G60" s="1634"/>
      <c r="H60" s="1666" t="s">
        <v>1743</v>
      </c>
      <c r="I60" s="1634"/>
      <c r="J60" s="1634"/>
      <c r="K60" s="1634"/>
      <c r="L60" s="1766"/>
      <c r="M60" s="1634"/>
      <c r="N60" s="1634"/>
      <c r="O60" s="1634"/>
      <c r="P60" s="1634"/>
      <c r="Q60" s="1634"/>
      <c r="R60" s="1634"/>
      <c r="S60" s="1634"/>
      <c r="T60" s="1634"/>
      <c r="U60" s="1634"/>
      <c r="V60" s="1634"/>
      <c r="W60" s="1634"/>
      <c r="X60" s="1635"/>
      <c r="Y60" s="470"/>
      <c r="AL60" s="1604"/>
    </row>
    <row r="61" spans="1:38" hidden="1">
      <c r="A61" s="470"/>
      <c r="B61" s="470"/>
      <c r="C61" s="470"/>
      <c r="D61" s="470"/>
      <c r="E61" s="470"/>
      <c r="F61" s="470"/>
      <c r="G61" s="1667">
        <f t="shared" ref="G61:G74" si="34">B9</f>
        <v>0</v>
      </c>
      <c r="H61" s="1668">
        <f t="shared" ref="H61:X61" si="35">H9*$C9</f>
        <v>0</v>
      </c>
      <c r="I61" s="1668">
        <f t="shared" si="35"/>
        <v>0</v>
      </c>
      <c r="J61" s="1668">
        <f t="shared" si="35"/>
        <v>0</v>
      </c>
      <c r="K61" s="1668">
        <f t="shared" si="35"/>
        <v>0</v>
      </c>
      <c r="L61" s="1668">
        <f t="shared" si="35"/>
        <v>0</v>
      </c>
      <c r="M61" s="1668">
        <f t="shared" si="35"/>
        <v>0</v>
      </c>
      <c r="N61" s="1668">
        <f t="shared" si="35"/>
        <v>0</v>
      </c>
      <c r="O61" s="1668">
        <f t="shared" si="35"/>
        <v>0</v>
      </c>
      <c r="P61" s="1668">
        <f t="shared" si="35"/>
        <v>0</v>
      </c>
      <c r="Q61" s="1668">
        <f t="shared" si="35"/>
        <v>0</v>
      </c>
      <c r="R61" s="1668">
        <f t="shared" si="35"/>
        <v>0</v>
      </c>
      <c r="S61" s="1668">
        <f t="shared" si="35"/>
        <v>0</v>
      </c>
      <c r="T61" s="1668">
        <f t="shared" si="35"/>
        <v>0</v>
      </c>
      <c r="U61" s="1668">
        <f t="shared" si="35"/>
        <v>0</v>
      </c>
      <c r="V61" s="1668">
        <f t="shared" si="35"/>
        <v>0</v>
      </c>
      <c r="W61" s="1668">
        <f t="shared" si="35"/>
        <v>0</v>
      </c>
      <c r="X61" s="1668">
        <f t="shared" si="35"/>
        <v>0</v>
      </c>
      <c r="Y61" s="470"/>
      <c r="AL61" s="1604"/>
    </row>
    <row r="62" spans="1:38" hidden="1">
      <c r="A62" s="470"/>
      <c r="B62" s="470"/>
      <c r="C62" s="470"/>
      <c r="D62" s="470"/>
      <c r="E62" s="470"/>
      <c r="F62" s="470"/>
      <c r="G62" s="1667">
        <f t="shared" si="34"/>
        <v>0</v>
      </c>
      <c r="H62" s="1668">
        <f t="shared" ref="H62:X62" si="36">H10*$C10</f>
        <v>0</v>
      </c>
      <c r="I62" s="1668">
        <f t="shared" si="36"/>
        <v>0</v>
      </c>
      <c r="J62" s="1668">
        <f t="shared" si="36"/>
        <v>0</v>
      </c>
      <c r="K62" s="1668">
        <f t="shared" si="36"/>
        <v>0</v>
      </c>
      <c r="L62" s="1668">
        <f t="shared" si="36"/>
        <v>0</v>
      </c>
      <c r="M62" s="1668">
        <f t="shared" si="36"/>
        <v>0</v>
      </c>
      <c r="N62" s="1668">
        <f t="shared" si="36"/>
        <v>0</v>
      </c>
      <c r="O62" s="1668">
        <f t="shared" si="36"/>
        <v>0</v>
      </c>
      <c r="P62" s="1668">
        <f t="shared" si="36"/>
        <v>0</v>
      </c>
      <c r="Q62" s="1668">
        <f t="shared" si="36"/>
        <v>0</v>
      </c>
      <c r="R62" s="1668">
        <f t="shared" si="36"/>
        <v>0</v>
      </c>
      <c r="S62" s="1668">
        <f t="shared" si="36"/>
        <v>0</v>
      </c>
      <c r="T62" s="1668">
        <f t="shared" si="36"/>
        <v>0</v>
      </c>
      <c r="U62" s="1668">
        <f t="shared" si="36"/>
        <v>0</v>
      </c>
      <c r="V62" s="1668">
        <f t="shared" si="36"/>
        <v>0</v>
      </c>
      <c r="W62" s="1668">
        <f t="shared" si="36"/>
        <v>0</v>
      </c>
      <c r="X62" s="1668">
        <f t="shared" si="36"/>
        <v>0</v>
      </c>
      <c r="Y62" s="470"/>
      <c r="AL62" s="1604"/>
    </row>
    <row r="63" spans="1:38" hidden="1">
      <c r="A63" s="470"/>
      <c r="B63" s="470"/>
      <c r="C63" s="470"/>
      <c r="D63" s="470"/>
      <c r="E63" s="470"/>
      <c r="F63" s="470"/>
      <c r="G63" s="1667">
        <f t="shared" si="34"/>
        <v>0</v>
      </c>
      <c r="H63" s="1668">
        <f t="shared" ref="H63:X63" si="37">H11*$C11</f>
        <v>0</v>
      </c>
      <c r="I63" s="1668">
        <f t="shared" si="37"/>
        <v>0</v>
      </c>
      <c r="J63" s="1668">
        <f t="shared" si="37"/>
        <v>0</v>
      </c>
      <c r="K63" s="1668">
        <f t="shared" si="37"/>
        <v>0</v>
      </c>
      <c r="L63" s="1668">
        <f t="shared" si="37"/>
        <v>0</v>
      </c>
      <c r="M63" s="1668">
        <f t="shared" si="37"/>
        <v>0</v>
      </c>
      <c r="N63" s="1668">
        <f t="shared" si="37"/>
        <v>0</v>
      </c>
      <c r="O63" s="1668">
        <f t="shared" si="37"/>
        <v>0</v>
      </c>
      <c r="P63" s="1668">
        <f t="shared" si="37"/>
        <v>0</v>
      </c>
      <c r="Q63" s="1668">
        <f t="shared" si="37"/>
        <v>0</v>
      </c>
      <c r="R63" s="1668">
        <f t="shared" si="37"/>
        <v>0</v>
      </c>
      <c r="S63" s="1668">
        <f t="shared" si="37"/>
        <v>0</v>
      </c>
      <c r="T63" s="1668">
        <f t="shared" si="37"/>
        <v>0</v>
      </c>
      <c r="U63" s="1668">
        <f t="shared" si="37"/>
        <v>0</v>
      </c>
      <c r="V63" s="1668">
        <f t="shared" si="37"/>
        <v>0</v>
      </c>
      <c r="W63" s="1668">
        <f t="shared" si="37"/>
        <v>0</v>
      </c>
      <c r="X63" s="1668">
        <f t="shared" si="37"/>
        <v>0</v>
      </c>
      <c r="Y63" s="470"/>
      <c r="AL63" s="1604"/>
    </row>
    <row r="64" spans="1:38" hidden="1">
      <c r="A64" s="470"/>
      <c r="B64" s="470"/>
      <c r="C64" s="470"/>
      <c r="D64" s="470"/>
      <c r="E64" s="470"/>
      <c r="F64" s="470"/>
      <c r="G64" s="1667">
        <f t="shared" si="34"/>
        <v>0</v>
      </c>
      <c r="H64" s="1668">
        <f t="shared" ref="H64:X64" si="38">H12*$C12</f>
        <v>0</v>
      </c>
      <c r="I64" s="1668">
        <f t="shared" si="38"/>
        <v>0</v>
      </c>
      <c r="J64" s="1668">
        <f t="shared" si="38"/>
        <v>0</v>
      </c>
      <c r="K64" s="1668">
        <f t="shared" si="38"/>
        <v>0</v>
      </c>
      <c r="L64" s="1668">
        <f t="shared" si="38"/>
        <v>0</v>
      </c>
      <c r="M64" s="1668">
        <f t="shared" si="38"/>
        <v>0</v>
      </c>
      <c r="N64" s="1668">
        <f t="shared" si="38"/>
        <v>0</v>
      </c>
      <c r="O64" s="1668">
        <f t="shared" si="38"/>
        <v>0</v>
      </c>
      <c r="P64" s="1668">
        <f t="shared" si="38"/>
        <v>0</v>
      </c>
      <c r="Q64" s="1668">
        <f t="shared" si="38"/>
        <v>0</v>
      </c>
      <c r="R64" s="1668">
        <f t="shared" si="38"/>
        <v>0</v>
      </c>
      <c r="S64" s="1668">
        <f t="shared" si="38"/>
        <v>0</v>
      </c>
      <c r="T64" s="1668">
        <f t="shared" si="38"/>
        <v>0</v>
      </c>
      <c r="U64" s="1668">
        <f t="shared" si="38"/>
        <v>0</v>
      </c>
      <c r="V64" s="1668">
        <f t="shared" si="38"/>
        <v>0</v>
      </c>
      <c r="W64" s="1668">
        <f t="shared" si="38"/>
        <v>0</v>
      </c>
      <c r="X64" s="1668">
        <f t="shared" si="38"/>
        <v>0</v>
      </c>
      <c r="Y64" s="470"/>
      <c r="AL64" s="1604"/>
    </row>
    <row r="65" spans="1:38" hidden="1">
      <c r="A65" s="470"/>
      <c r="B65" s="470"/>
      <c r="C65" s="470"/>
      <c r="D65" s="470"/>
      <c r="E65" s="470"/>
      <c r="F65" s="470"/>
      <c r="G65" s="1667">
        <f t="shared" si="34"/>
        <v>0</v>
      </c>
      <c r="H65" s="1668">
        <f t="shared" ref="H65:X65" si="39">H13*$C13</f>
        <v>0</v>
      </c>
      <c r="I65" s="1668">
        <f t="shared" si="39"/>
        <v>0</v>
      </c>
      <c r="J65" s="1668">
        <f t="shared" si="39"/>
        <v>0</v>
      </c>
      <c r="K65" s="1668">
        <f t="shared" si="39"/>
        <v>0</v>
      </c>
      <c r="L65" s="1668">
        <f t="shared" si="39"/>
        <v>0</v>
      </c>
      <c r="M65" s="1668">
        <f t="shared" si="39"/>
        <v>0</v>
      </c>
      <c r="N65" s="1668">
        <f t="shared" si="39"/>
        <v>0</v>
      </c>
      <c r="O65" s="1668">
        <f t="shared" si="39"/>
        <v>0</v>
      </c>
      <c r="P65" s="1668">
        <f t="shared" si="39"/>
        <v>0</v>
      </c>
      <c r="Q65" s="1668">
        <f t="shared" si="39"/>
        <v>0</v>
      </c>
      <c r="R65" s="1668">
        <f t="shared" si="39"/>
        <v>0</v>
      </c>
      <c r="S65" s="1668">
        <f t="shared" si="39"/>
        <v>0</v>
      </c>
      <c r="T65" s="1668">
        <f t="shared" si="39"/>
        <v>0</v>
      </c>
      <c r="U65" s="1668">
        <f t="shared" si="39"/>
        <v>0</v>
      </c>
      <c r="V65" s="1668">
        <f t="shared" si="39"/>
        <v>0</v>
      </c>
      <c r="W65" s="1668">
        <f t="shared" si="39"/>
        <v>0</v>
      </c>
      <c r="X65" s="1668">
        <f t="shared" si="39"/>
        <v>0</v>
      </c>
      <c r="Y65" s="470"/>
      <c r="AL65" s="1604"/>
    </row>
    <row r="66" spans="1:38" hidden="1">
      <c r="A66" s="470"/>
      <c r="B66" s="470"/>
      <c r="C66" s="470"/>
      <c r="D66" s="470"/>
      <c r="E66" s="470"/>
      <c r="F66" s="470"/>
      <c r="G66" s="1667">
        <f t="shared" si="34"/>
        <v>0</v>
      </c>
      <c r="H66" s="1668">
        <f t="shared" ref="H66:X66" si="40">H14*$C14</f>
        <v>0</v>
      </c>
      <c r="I66" s="1668">
        <f t="shared" si="40"/>
        <v>0</v>
      </c>
      <c r="J66" s="1668">
        <f t="shared" si="40"/>
        <v>0</v>
      </c>
      <c r="K66" s="1668">
        <f t="shared" si="40"/>
        <v>0</v>
      </c>
      <c r="L66" s="1668">
        <f t="shared" si="40"/>
        <v>0</v>
      </c>
      <c r="M66" s="1668">
        <f t="shared" si="40"/>
        <v>0</v>
      </c>
      <c r="N66" s="1668">
        <f t="shared" si="40"/>
        <v>0</v>
      </c>
      <c r="O66" s="1668">
        <f t="shared" si="40"/>
        <v>0</v>
      </c>
      <c r="P66" s="1668">
        <f t="shared" si="40"/>
        <v>0</v>
      </c>
      <c r="Q66" s="1668">
        <f t="shared" si="40"/>
        <v>0</v>
      </c>
      <c r="R66" s="1668">
        <f t="shared" si="40"/>
        <v>0</v>
      </c>
      <c r="S66" s="1668">
        <f t="shared" si="40"/>
        <v>0</v>
      </c>
      <c r="T66" s="1668">
        <f t="shared" si="40"/>
        <v>0</v>
      </c>
      <c r="U66" s="1668">
        <f t="shared" si="40"/>
        <v>0</v>
      </c>
      <c r="V66" s="1668">
        <f t="shared" si="40"/>
        <v>0</v>
      </c>
      <c r="W66" s="1668">
        <f t="shared" si="40"/>
        <v>0</v>
      </c>
      <c r="X66" s="1668">
        <f t="shared" si="40"/>
        <v>0</v>
      </c>
      <c r="Y66" s="470"/>
      <c r="AL66" s="1604"/>
    </row>
    <row r="67" spans="1:38" hidden="1">
      <c r="A67" s="470"/>
      <c r="B67" s="470"/>
      <c r="C67" s="470"/>
      <c r="D67" s="470"/>
      <c r="E67" s="470"/>
      <c r="F67" s="470"/>
      <c r="G67" s="1667">
        <f t="shared" si="34"/>
        <v>0</v>
      </c>
      <c r="H67" s="1668">
        <f t="shared" ref="H67:X67" si="41">H15*$C15</f>
        <v>0</v>
      </c>
      <c r="I67" s="1668">
        <f t="shared" si="41"/>
        <v>0</v>
      </c>
      <c r="J67" s="1668">
        <f t="shared" si="41"/>
        <v>0</v>
      </c>
      <c r="K67" s="1668">
        <f t="shared" si="41"/>
        <v>0</v>
      </c>
      <c r="L67" s="1668">
        <f t="shared" si="41"/>
        <v>0</v>
      </c>
      <c r="M67" s="1668">
        <f t="shared" si="41"/>
        <v>0</v>
      </c>
      <c r="N67" s="1668">
        <f t="shared" si="41"/>
        <v>0</v>
      </c>
      <c r="O67" s="1668">
        <f t="shared" si="41"/>
        <v>0</v>
      </c>
      <c r="P67" s="1668">
        <f t="shared" si="41"/>
        <v>0</v>
      </c>
      <c r="Q67" s="1668">
        <f t="shared" si="41"/>
        <v>0</v>
      </c>
      <c r="R67" s="1668">
        <f t="shared" si="41"/>
        <v>0</v>
      </c>
      <c r="S67" s="1668">
        <f t="shared" si="41"/>
        <v>0</v>
      </c>
      <c r="T67" s="1668">
        <f t="shared" si="41"/>
        <v>0</v>
      </c>
      <c r="U67" s="1668">
        <f t="shared" si="41"/>
        <v>0</v>
      </c>
      <c r="V67" s="1668">
        <f t="shared" si="41"/>
        <v>0</v>
      </c>
      <c r="W67" s="1668">
        <f t="shared" si="41"/>
        <v>0</v>
      </c>
      <c r="X67" s="1668">
        <f t="shared" si="41"/>
        <v>0</v>
      </c>
      <c r="Y67" s="470"/>
      <c r="AL67" s="1604"/>
    </row>
    <row r="68" spans="1:38" hidden="1">
      <c r="A68" s="470"/>
      <c r="B68" s="470"/>
      <c r="C68" s="470"/>
      <c r="D68" s="470"/>
      <c r="E68" s="470"/>
      <c r="F68" s="470"/>
      <c r="G68" s="1667">
        <f t="shared" si="34"/>
        <v>0</v>
      </c>
      <c r="H68" s="1668">
        <f t="shared" ref="H68:X68" si="42">H16*$C16</f>
        <v>0</v>
      </c>
      <c r="I68" s="1668">
        <f t="shared" si="42"/>
        <v>0</v>
      </c>
      <c r="J68" s="1668">
        <f t="shared" si="42"/>
        <v>0</v>
      </c>
      <c r="K68" s="1668">
        <f t="shared" si="42"/>
        <v>0</v>
      </c>
      <c r="L68" s="1668">
        <f t="shared" si="42"/>
        <v>0</v>
      </c>
      <c r="M68" s="1668">
        <f t="shared" si="42"/>
        <v>0</v>
      </c>
      <c r="N68" s="1668">
        <f t="shared" si="42"/>
        <v>0</v>
      </c>
      <c r="O68" s="1668">
        <f t="shared" si="42"/>
        <v>0</v>
      </c>
      <c r="P68" s="1668">
        <f t="shared" si="42"/>
        <v>0</v>
      </c>
      <c r="Q68" s="1668">
        <f t="shared" si="42"/>
        <v>0</v>
      </c>
      <c r="R68" s="1668">
        <f t="shared" si="42"/>
        <v>0</v>
      </c>
      <c r="S68" s="1668">
        <f t="shared" si="42"/>
        <v>0</v>
      </c>
      <c r="T68" s="1668">
        <f t="shared" si="42"/>
        <v>0</v>
      </c>
      <c r="U68" s="1668">
        <f t="shared" si="42"/>
        <v>0</v>
      </c>
      <c r="V68" s="1668">
        <f t="shared" si="42"/>
        <v>0</v>
      </c>
      <c r="W68" s="1668">
        <f t="shared" si="42"/>
        <v>0</v>
      </c>
      <c r="X68" s="1668">
        <f t="shared" si="42"/>
        <v>0</v>
      </c>
      <c r="Y68" s="470"/>
      <c r="AL68" s="1604"/>
    </row>
    <row r="69" spans="1:38" hidden="1">
      <c r="A69" s="470"/>
      <c r="B69" s="470"/>
      <c r="C69" s="470"/>
      <c r="D69" s="470"/>
      <c r="E69" s="470"/>
      <c r="F69" s="470"/>
      <c r="G69" s="1667">
        <f t="shared" si="34"/>
        <v>0</v>
      </c>
      <c r="H69" s="1668">
        <f t="shared" ref="H69:X69" si="43">H17*$C17</f>
        <v>0</v>
      </c>
      <c r="I69" s="1668">
        <f t="shared" si="43"/>
        <v>0</v>
      </c>
      <c r="J69" s="1668">
        <f t="shared" si="43"/>
        <v>0</v>
      </c>
      <c r="K69" s="1668">
        <f t="shared" si="43"/>
        <v>0</v>
      </c>
      <c r="L69" s="1668">
        <f t="shared" si="43"/>
        <v>0</v>
      </c>
      <c r="M69" s="1668">
        <f t="shared" si="43"/>
        <v>0</v>
      </c>
      <c r="N69" s="1668">
        <f t="shared" si="43"/>
        <v>0</v>
      </c>
      <c r="O69" s="1668">
        <f t="shared" si="43"/>
        <v>0</v>
      </c>
      <c r="P69" s="1668">
        <f t="shared" si="43"/>
        <v>0</v>
      </c>
      <c r="Q69" s="1668">
        <f t="shared" si="43"/>
        <v>0</v>
      </c>
      <c r="R69" s="1668">
        <f t="shared" si="43"/>
        <v>0</v>
      </c>
      <c r="S69" s="1668">
        <f t="shared" si="43"/>
        <v>0</v>
      </c>
      <c r="T69" s="1668">
        <f t="shared" si="43"/>
        <v>0</v>
      </c>
      <c r="U69" s="1668">
        <f t="shared" si="43"/>
        <v>0</v>
      </c>
      <c r="V69" s="1668">
        <f t="shared" si="43"/>
        <v>0</v>
      </c>
      <c r="W69" s="1668">
        <f t="shared" si="43"/>
        <v>0</v>
      </c>
      <c r="X69" s="1668">
        <f t="shared" si="43"/>
        <v>0</v>
      </c>
      <c r="Y69" s="470"/>
      <c r="AL69" s="1604"/>
    </row>
    <row r="70" spans="1:38" hidden="1">
      <c r="A70" s="470"/>
      <c r="B70" s="470"/>
      <c r="C70" s="470"/>
      <c r="D70" s="470"/>
      <c r="E70" s="470"/>
      <c r="F70" s="470"/>
      <c r="G70" s="1667">
        <f t="shared" si="34"/>
        <v>0</v>
      </c>
      <c r="H70" s="1668">
        <f t="shared" ref="H70:X70" si="44">H18*$C18</f>
        <v>0</v>
      </c>
      <c r="I70" s="1668">
        <f t="shared" si="44"/>
        <v>0</v>
      </c>
      <c r="J70" s="1668">
        <f t="shared" si="44"/>
        <v>0</v>
      </c>
      <c r="K70" s="1668">
        <f t="shared" si="44"/>
        <v>0</v>
      </c>
      <c r="L70" s="1668">
        <f t="shared" si="44"/>
        <v>0</v>
      </c>
      <c r="M70" s="1668">
        <f t="shared" si="44"/>
        <v>0</v>
      </c>
      <c r="N70" s="1668">
        <f t="shared" si="44"/>
        <v>0</v>
      </c>
      <c r="O70" s="1668">
        <f t="shared" si="44"/>
        <v>0</v>
      </c>
      <c r="P70" s="1668">
        <f t="shared" si="44"/>
        <v>0</v>
      </c>
      <c r="Q70" s="1668">
        <f t="shared" si="44"/>
        <v>0</v>
      </c>
      <c r="R70" s="1668">
        <f t="shared" si="44"/>
        <v>0</v>
      </c>
      <c r="S70" s="1668">
        <f t="shared" si="44"/>
        <v>0</v>
      </c>
      <c r="T70" s="1668">
        <f t="shared" si="44"/>
        <v>0</v>
      </c>
      <c r="U70" s="1668">
        <f t="shared" si="44"/>
        <v>0</v>
      </c>
      <c r="V70" s="1668">
        <f t="shared" si="44"/>
        <v>0</v>
      </c>
      <c r="W70" s="1668">
        <f t="shared" si="44"/>
        <v>0</v>
      </c>
      <c r="X70" s="1668">
        <f t="shared" si="44"/>
        <v>0</v>
      </c>
      <c r="Y70" s="470"/>
      <c r="AL70" s="1604"/>
    </row>
    <row r="71" spans="1:38" hidden="1">
      <c r="A71" s="470"/>
      <c r="B71" s="470"/>
      <c r="C71" s="470"/>
      <c r="D71" s="470"/>
      <c r="E71" s="470"/>
      <c r="F71" s="470"/>
      <c r="G71" s="1667">
        <f t="shared" si="34"/>
        <v>0</v>
      </c>
      <c r="H71" s="1668">
        <f t="shared" ref="H71:X71" si="45">H19*$C19</f>
        <v>0</v>
      </c>
      <c r="I71" s="1668">
        <f t="shared" si="45"/>
        <v>0</v>
      </c>
      <c r="J71" s="1668">
        <f t="shared" si="45"/>
        <v>0</v>
      </c>
      <c r="K71" s="1668">
        <f t="shared" si="45"/>
        <v>0</v>
      </c>
      <c r="L71" s="1668">
        <f t="shared" si="45"/>
        <v>0</v>
      </c>
      <c r="M71" s="1668">
        <f t="shared" si="45"/>
        <v>0</v>
      </c>
      <c r="N71" s="1668">
        <f t="shared" si="45"/>
        <v>0</v>
      </c>
      <c r="O71" s="1668">
        <f t="shared" si="45"/>
        <v>0</v>
      </c>
      <c r="P71" s="1668">
        <f t="shared" si="45"/>
        <v>0</v>
      </c>
      <c r="Q71" s="1668">
        <f t="shared" si="45"/>
        <v>0</v>
      </c>
      <c r="R71" s="1668">
        <f t="shared" si="45"/>
        <v>0</v>
      </c>
      <c r="S71" s="1668">
        <f t="shared" si="45"/>
        <v>0</v>
      </c>
      <c r="T71" s="1668">
        <f t="shared" si="45"/>
        <v>0</v>
      </c>
      <c r="U71" s="1668">
        <f t="shared" si="45"/>
        <v>0</v>
      </c>
      <c r="V71" s="1668">
        <f t="shared" si="45"/>
        <v>0</v>
      </c>
      <c r="W71" s="1668">
        <f t="shared" si="45"/>
        <v>0</v>
      </c>
      <c r="X71" s="1668">
        <f t="shared" si="45"/>
        <v>0</v>
      </c>
      <c r="Y71" s="470"/>
      <c r="AL71" s="1604"/>
    </row>
    <row r="72" spans="1:38" hidden="1">
      <c r="A72" s="470"/>
      <c r="B72" s="470"/>
      <c r="C72" s="470"/>
      <c r="D72" s="470"/>
      <c r="E72" s="470"/>
      <c r="F72" s="470"/>
      <c r="G72" s="1667">
        <f t="shared" si="34"/>
        <v>0</v>
      </c>
      <c r="H72" s="1668">
        <f t="shared" ref="H72:X72" si="46">H20*$C20</f>
        <v>0</v>
      </c>
      <c r="I72" s="1668">
        <f t="shared" si="46"/>
        <v>0</v>
      </c>
      <c r="J72" s="1668">
        <f t="shared" si="46"/>
        <v>0</v>
      </c>
      <c r="K72" s="1668">
        <f t="shared" si="46"/>
        <v>0</v>
      </c>
      <c r="L72" s="1668">
        <f t="shared" si="46"/>
        <v>0</v>
      </c>
      <c r="M72" s="1668">
        <f t="shared" si="46"/>
        <v>0</v>
      </c>
      <c r="N72" s="1668">
        <f t="shared" si="46"/>
        <v>0</v>
      </c>
      <c r="O72" s="1668">
        <f t="shared" si="46"/>
        <v>0</v>
      </c>
      <c r="P72" s="1668">
        <f t="shared" si="46"/>
        <v>0</v>
      </c>
      <c r="Q72" s="1668">
        <f t="shared" si="46"/>
        <v>0</v>
      </c>
      <c r="R72" s="1668">
        <f t="shared" si="46"/>
        <v>0</v>
      </c>
      <c r="S72" s="1668">
        <f t="shared" si="46"/>
        <v>0</v>
      </c>
      <c r="T72" s="1668">
        <f t="shared" si="46"/>
        <v>0</v>
      </c>
      <c r="U72" s="1668">
        <f t="shared" si="46"/>
        <v>0</v>
      </c>
      <c r="V72" s="1668">
        <f t="shared" si="46"/>
        <v>0</v>
      </c>
      <c r="W72" s="1668">
        <f t="shared" si="46"/>
        <v>0</v>
      </c>
      <c r="X72" s="1668">
        <f t="shared" si="46"/>
        <v>0</v>
      </c>
      <c r="Y72" s="470"/>
      <c r="AL72" s="1604"/>
    </row>
    <row r="73" spans="1:38" hidden="1">
      <c r="A73" s="470"/>
      <c r="B73" s="470"/>
      <c r="C73" s="470"/>
      <c r="D73" s="470"/>
      <c r="E73" s="470"/>
      <c r="F73" s="470"/>
      <c r="G73" s="1667">
        <f t="shared" si="34"/>
        <v>0</v>
      </c>
      <c r="H73" s="1668">
        <f t="shared" ref="H73:X73" si="47">H21*$C21</f>
        <v>0</v>
      </c>
      <c r="I73" s="1668">
        <f t="shared" si="47"/>
        <v>0</v>
      </c>
      <c r="J73" s="1668">
        <f t="shared" si="47"/>
        <v>0</v>
      </c>
      <c r="K73" s="1668">
        <f t="shared" si="47"/>
        <v>0</v>
      </c>
      <c r="L73" s="1668">
        <f t="shared" si="47"/>
        <v>0</v>
      </c>
      <c r="M73" s="1668">
        <f t="shared" si="47"/>
        <v>0</v>
      </c>
      <c r="N73" s="1668">
        <f t="shared" si="47"/>
        <v>0</v>
      </c>
      <c r="O73" s="1668">
        <f t="shared" si="47"/>
        <v>0</v>
      </c>
      <c r="P73" s="1668">
        <f t="shared" si="47"/>
        <v>0</v>
      </c>
      <c r="Q73" s="1668">
        <f t="shared" si="47"/>
        <v>0</v>
      </c>
      <c r="R73" s="1668">
        <f t="shared" si="47"/>
        <v>0</v>
      </c>
      <c r="S73" s="1668">
        <f t="shared" si="47"/>
        <v>0</v>
      </c>
      <c r="T73" s="1668">
        <f t="shared" si="47"/>
        <v>0</v>
      </c>
      <c r="U73" s="1668">
        <f t="shared" si="47"/>
        <v>0</v>
      </c>
      <c r="V73" s="1668">
        <f t="shared" si="47"/>
        <v>0</v>
      </c>
      <c r="W73" s="1668">
        <f t="shared" si="47"/>
        <v>0</v>
      </c>
      <c r="X73" s="1668">
        <f t="shared" si="47"/>
        <v>0</v>
      </c>
      <c r="Y73" s="470"/>
      <c r="AL73" s="1604"/>
    </row>
    <row r="74" spans="1:38" hidden="1">
      <c r="A74" s="470"/>
      <c r="B74" s="470"/>
      <c r="C74" s="470"/>
      <c r="D74" s="470"/>
      <c r="E74" s="470"/>
      <c r="F74" s="470"/>
      <c r="G74" s="1667" t="str">
        <f t="shared" si="34"/>
        <v>diverse Grünbrachen zB Biodiv.</v>
      </c>
      <c r="H74" s="1668">
        <f t="shared" ref="H74:X74" si="48">H22*$C22</f>
        <v>0</v>
      </c>
      <c r="I74" s="1668">
        <f t="shared" si="48"/>
        <v>0</v>
      </c>
      <c r="J74" s="1668">
        <f t="shared" si="48"/>
        <v>0</v>
      </c>
      <c r="K74" s="1668">
        <f t="shared" si="48"/>
        <v>0</v>
      </c>
      <c r="L74" s="1668">
        <f t="shared" si="48"/>
        <v>0</v>
      </c>
      <c r="M74" s="1668">
        <f t="shared" si="48"/>
        <v>0</v>
      </c>
      <c r="N74" s="1668">
        <f t="shared" si="48"/>
        <v>0</v>
      </c>
      <c r="O74" s="1668">
        <f t="shared" si="48"/>
        <v>0</v>
      </c>
      <c r="P74" s="1668">
        <f t="shared" si="48"/>
        <v>0</v>
      </c>
      <c r="Q74" s="1668">
        <f t="shared" si="48"/>
        <v>0</v>
      </c>
      <c r="R74" s="1668">
        <f t="shared" si="48"/>
        <v>0</v>
      </c>
      <c r="S74" s="1668">
        <f t="shared" si="48"/>
        <v>0</v>
      </c>
      <c r="T74" s="1668">
        <f t="shared" si="48"/>
        <v>0</v>
      </c>
      <c r="U74" s="1668">
        <f t="shared" si="48"/>
        <v>0</v>
      </c>
      <c r="V74" s="1668">
        <f t="shared" si="48"/>
        <v>0</v>
      </c>
      <c r="W74" s="1668">
        <f t="shared" si="48"/>
        <v>0</v>
      </c>
      <c r="X74" s="1668">
        <f t="shared" si="48"/>
        <v>0</v>
      </c>
      <c r="Y74" s="470"/>
      <c r="AL74" s="1604"/>
    </row>
    <row r="75" spans="1:38" ht="6.75" hidden="1" customHeight="1">
      <c r="A75" s="470"/>
      <c r="B75" s="470"/>
      <c r="C75" s="470"/>
      <c r="D75" s="470"/>
      <c r="E75" s="470"/>
      <c r="F75" s="470"/>
      <c r="G75" s="1667"/>
      <c r="H75" s="470"/>
      <c r="I75" s="470"/>
      <c r="J75" s="470"/>
      <c r="K75" s="470"/>
      <c r="L75" s="470"/>
      <c r="M75" s="470"/>
      <c r="N75" s="470"/>
      <c r="O75" s="470"/>
      <c r="P75" s="470"/>
      <c r="Q75" s="470"/>
      <c r="R75" s="470"/>
      <c r="S75" s="470"/>
      <c r="T75" s="470"/>
      <c r="U75" s="470"/>
      <c r="V75" s="470"/>
      <c r="W75" s="470"/>
      <c r="X75" s="470"/>
      <c r="Y75" s="470"/>
      <c r="AL75" s="1604"/>
    </row>
    <row r="76" spans="1:38" hidden="1">
      <c r="A76" s="470"/>
      <c r="B76" s="470"/>
      <c r="C76" s="470"/>
      <c r="D76" s="470"/>
      <c r="E76" s="470"/>
      <c r="F76" s="470"/>
      <c r="G76" s="1667">
        <f t="shared" ref="G76:G81" si="49">B24</f>
        <v>0</v>
      </c>
      <c r="H76" s="1668">
        <f t="shared" ref="H76:X76" si="50">H24*$C24</f>
        <v>0</v>
      </c>
      <c r="I76" s="1668">
        <f t="shared" si="50"/>
        <v>0</v>
      </c>
      <c r="J76" s="1668">
        <f t="shared" si="50"/>
        <v>0</v>
      </c>
      <c r="K76" s="1668">
        <f t="shared" si="50"/>
        <v>0</v>
      </c>
      <c r="L76" s="1668">
        <f t="shared" si="50"/>
        <v>0</v>
      </c>
      <c r="M76" s="1668">
        <f t="shared" si="50"/>
        <v>0</v>
      </c>
      <c r="N76" s="1668">
        <f t="shared" si="50"/>
        <v>0</v>
      </c>
      <c r="O76" s="1668">
        <f t="shared" si="50"/>
        <v>0</v>
      </c>
      <c r="P76" s="1668">
        <f t="shared" si="50"/>
        <v>0</v>
      </c>
      <c r="Q76" s="1668">
        <f t="shared" si="50"/>
        <v>0</v>
      </c>
      <c r="R76" s="1668">
        <f t="shared" si="50"/>
        <v>0</v>
      </c>
      <c r="S76" s="1668">
        <f t="shared" si="50"/>
        <v>0</v>
      </c>
      <c r="T76" s="1668">
        <f t="shared" si="50"/>
        <v>0</v>
      </c>
      <c r="U76" s="1668">
        <f t="shared" si="50"/>
        <v>0</v>
      </c>
      <c r="V76" s="1668">
        <f t="shared" si="50"/>
        <v>0</v>
      </c>
      <c r="W76" s="1668">
        <f t="shared" si="50"/>
        <v>0</v>
      </c>
      <c r="X76" s="1668">
        <f t="shared" si="50"/>
        <v>0</v>
      </c>
      <c r="Y76" s="470"/>
      <c r="AL76" s="1604"/>
    </row>
    <row r="77" spans="1:38" hidden="1">
      <c r="A77" s="470"/>
      <c r="B77" s="470"/>
      <c r="C77" s="470"/>
      <c r="D77" s="470"/>
      <c r="E77" s="470"/>
      <c r="F77" s="470"/>
      <c r="G77" s="1667">
        <f t="shared" si="49"/>
        <v>0</v>
      </c>
      <c r="H77" s="1668">
        <f t="shared" ref="H77:X77" si="51">H25*$C25</f>
        <v>0</v>
      </c>
      <c r="I77" s="1668">
        <f t="shared" si="51"/>
        <v>0</v>
      </c>
      <c r="J77" s="1668">
        <f t="shared" si="51"/>
        <v>0</v>
      </c>
      <c r="K77" s="1668">
        <f t="shared" si="51"/>
        <v>0</v>
      </c>
      <c r="L77" s="1668">
        <f t="shared" si="51"/>
        <v>0</v>
      </c>
      <c r="M77" s="1668">
        <f t="shared" si="51"/>
        <v>0</v>
      </c>
      <c r="N77" s="1668">
        <f t="shared" si="51"/>
        <v>0</v>
      </c>
      <c r="O77" s="1668">
        <f t="shared" si="51"/>
        <v>0</v>
      </c>
      <c r="P77" s="1668">
        <f t="shared" si="51"/>
        <v>0</v>
      </c>
      <c r="Q77" s="1668">
        <f t="shared" si="51"/>
        <v>0</v>
      </c>
      <c r="R77" s="1668">
        <f t="shared" si="51"/>
        <v>0</v>
      </c>
      <c r="S77" s="1668">
        <f t="shared" si="51"/>
        <v>0</v>
      </c>
      <c r="T77" s="1668">
        <f t="shared" si="51"/>
        <v>0</v>
      </c>
      <c r="U77" s="1668">
        <f t="shared" si="51"/>
        <v>0</v>
      </c>
      <c r="V77" s="1668">
        <f t="shared" si="51"/>
        <v>0</v>
      </c>
      <c r="W77" s="1668">
        <f t="shared" si="51"/>
        <v>0</v>
      </c>
      <c r="X77" s="1668">
        <f t="shared" si="51"/>
        <v>0</v>
      </c>
      <c r="Y77" s="470"/>
      <c r="AL77" s="1604"/>
    </row>
    <row r="78" spans="1:38" hidden="1">
      <c r="A78" s="470"/>
      <c r="B78" s="470"/>
      <c r="C78" s="470"/>
      <c r="D78" s="470"/>
      <c r="E78" s="470"/>
      <c r="F78" s="470"/>
      <c r="G78" s="1667">
        <f t="shared" si="49"/>
        <v>0</v>
      </c>
      <c r="H78" s="1668">
        <f t="shared" ref="H78:X78" si="52">H26*$C26</f>
        <v>0</v>
      </c>
      <c r="I78" s="1668">
        <f t="shared" si="52"/>
        <v>0</v>
      </c>
      <c r="J78" s="1668">
        <f t="shared" si="52"/>
        <v>0</v>
      </c>
      <c r="K78" s="1668">
        <f t="shared" si="52"/>
        <v>0</v>
      </c>
      <c r="L78" s="1668">
        <f t="shared" si="52"/>
        <v>0</v>
      </c>
      <c r="M78" s="1668">
        <f t="shared" si="52"/>
        <v>0</v>
      </c>
      <c r="N78" s="1668">
        <f t="shared" si="52"/>
        <v>0</v>
      </c>
      <c r="O78" s="1668">
        <f t="shared" si="52"/>
        <v>0</v>
      </c>
      <c r="P78" s="1668">
        <f t="shared" si="52"/>
        <v>0</v>
      </c>
      <c r="Q78" s="1668">
        <f t="shared" si="52"/>
        <v>0</v>
      </c>
      <c r="R78" s="1668">
        <f t="shared" si="52"/>
        <v>0</v>
      </c>
      <c r="S78" s="1668">
        <f t="shared" si="52"/>
        <v>0</v>
      </c>
      <c r="T78" s="1668">
        <f t="shared" si="52"/>
        <v>0</v>
      </c>
      <c r="U78" s="1668">
        <f t="shared" si="52"/>
        <v>0</v>
      </c>
      <c r="V78" s="1668">
        <f t="shared" si="52"/>
        <v>0</v>
      </c>
      <c r="W78" s="1668">
        <f t="shared" si="52"/>
        <v>0</v>
      </c>
      <c r="X78" s="1668">
        <f t="shared" si="52"/>
        <v>0</v>
      </c>
      <c r="Y78" s="470"/>
      <c r="AL78" s="1604"/>
    </row>
    <row r="79" spans="1:38" hidden="1">
      <c r="A79" s="470"/>
      <c r="B79" s="470"/>
      <c r="C79" s="470"/>
      <c r="D79" s="470"/>
      <c r="E79" s="470"/>
      <c r="F79" s="470"/>
      <c r="G79" s="1667">
        <f t="shared" si="49"/>
        <v>0</v>
      </c>
      <c r="H79" s="1668">
        <f t="shared" ref="H79:X79" si="53">H27*$C27</f>
        <v>0</v>
      </c>
      <c r="I79" s="1668">
        <f t="shared" si="53"/>
        <v>0</v>
      </c>
      <c r="J79" s="1668">
        <f t="shared" si="53"/>
        <v>0</v>
      </c>
      <c r="K79" s="1668">
        <f t="shared" si="53"/>
        <v>0</v>
      </c>
      <c r="L79" s="1668">
        <f t="shared" si="53"/>
        <v>0</v>
      </c>
      <c r="M79" s="1668">
        <f t="shared" si="53"/>
        <v>0</v>
      </c>
      <c r="N79" s="1668">
        <f t="shared" si="53"/>
        <v>0</v>
      </c>
      <c r="O79" s="1668">
        <f t="shared" si="53"/>
        <v>0</v>
      </c>
      <c r="P79" s="1668">
        <f t="shared" si="53"/>
        <v>0</v>
      </c>
      <c r="Q79" s="1668">
        <f t="shared" si="53"/>
        <v>0</v>
      </c>
      <c r="R79" s="1668">
        <f t="shared" si="53"/>
        <v>0</v>
      </c>
      <c r="S79" s="1668">
        <f t="shared" si="53"/>
        <v>0</v>
      </c>
      <c r="T79" s="1668">
        <f t="shared" si="53"/>
        <v>0</v>
      </c>
      <c r="U79" s="1668">
        <f t="shared" si="53"/>
        <v>0</v>
      </c>
      <c r="V79" s="1668">
        <f t="shared" si="53"/>
        <v>0</v>
      </c>
      <c r="W79" s="1668">
        <f t="shared" si="53"/>
        <v>0</v>
      </c>
      <c r="X79" s="1668">
        <f t="shared" si="53"/>
        <v>0</v>
      </c>
      <c r="Y79" s="470"/>
      <c r="AL79" s="1604"/>
    </row>
    <row r="80" spans="1:38" hidden="1">
      <c r="A80" s="470"/>
      <c r="B80" s="470"/>
      <c r="C80" s="470"/>
      <c r="D80" s="470"/>
      <c r="E80" s="470"/>
      <c r="F80" s="470"/>
      <c r="G80" s="1667">
        <f t="shared" si="49"/>
        <v>0</v>
      </c>
      <c r="H80" s="1668">
        <f t="shared" ref="H80:X80" si="54">H28*$C28</f>
        <v>0</v>
      </c>
      <c r="I80" s="1668">
        <f t="shared" si="54"/>
        <v>0</v>
      </c>
      <c r="J80" s="1668">
        <f t="shared" si="54"/>
        <v>0</v>
      </c>
      <c r="K80" s="1668">
        <f t="shared" si="54"/>
        <v>0</v>
      </c>
      <c r="L80" s="1668">
        <f t="shared" si="54"/>
        <v>0</v>
      </c>
      <c r="M80" s="1668">
        <f t="shared" si="54"/>
        <v>0</v>
      </c>
      <c r="N80" s="1668">
        <f t="shared" si="54"/>
        <v>0</v>
      </c>
      <c r="O80" s="1668">
        <f t="shared" si="54"/>
        <v>0</v>
      </c>
      <c r="P80" s="1668">
        <f t="shared" si="54"/>
        <v>0</v>
      </c>
      <c r="Q80" s="1668">
        <f t="shared" si="54"/>
        <v>0</v>
      </c>
      <c r="R80" s="1668">
        <f t="shared" si="54"/>
        <v>0</v>
      </c>
      <c r="S80" s="1668">
        <f t="shared" si="54"/>
        <v>0</v>
      </c>
      <c r="T80" s="1668">
        <f t="shared" si="54"/>
        <v>0</v>
      </c>
      <c r="U80" s="1668">
        <f t="shared" si="54"/>
        <v>0</v>
      </c>
      <c r="V80" s="1668">
        <f t="shared" si="54"/>
        <v>0</v>
      </c>
      <c r="W80" s="1668">
        <f t="shared" si="54"/>
        <v>0</v>
      </c>
      <c r="X80" s="1668">
        <f t="shared" si="54"/>
        <v>0</v>
      </c>
      <c r="Y80" s="470"/>
      <c r="AL80" s="1604"/>
    </row>
    <row r="81" spans="1:38" hidden="1">
      <c r="A81" s="470"/>
      <c r="B81" s="470"/>
      <c r="C81" s="470"/>
      <c r="D81" s="470"/>
      <c r="E81" s="470"/>
      <c r="F81" s="470"/>
      <c r="G81" s="1667">
        <f t="shared" si="49"/>
        <v>0</v>
      </c>
      <c r="H81" s="1668">
        <f t="shared" ref="H81:X81" si="55">H29*$C29</f>
        <v>0</v>
      </c>
      <c r="I81" s="1668">
        <f t="shared" si="55"/>
        <v>0</v>
      </c>
      <c r="J81" s="1668">
        <f t="shared" si="55"/>
        <v>0</v>
      </c>
      <c r="K81" s="1668">
        <f t="shared" si="55"/>
        <v>0</v>
      </c>
      <c r="L81" s="1668">
        <f t="shared" si="55"/>
        <v>0</v>
      </c>
      <c r="M81" s="1668">
        <f t="shared" si="55"/>
        <v>0</v>
      </c>
      <c r="N81" s="1668">
        <f t="shared" si="55"/>
        <v>0</v>
      </c>
      <c r="O81" s="1668">
        <f t="shared" si="55"/>
        <v>0</v>
      </c>
      <c r="P81" s="1668">
        <f t="shared" si="55"/>
        <v>0</v>
      </c>
      <c r="Q81" s="1668">
        <f t="shared" si="55"/>
        <v>0</v>
      </c>
      <c r="R81" s="1668">
        <f t="shared" si="55"/>
        <v>0</v>
      </c>
      <c r="S81" s="1668">
        <f t="shared" si="55"/>
        <v>0</v>
      </c>
      <c r="T81" s="1668">
        <f t="shared" si="55"/>
        <v>0</v>
      </c>
      <c r="U81" s="1668">
        <f t="shared" si="55"/>
        <v>0</v>
      </c>
      <c r="V81" s="1668">
        <f t="shared" si="55"/>
        <v>0</v>
      </c>
      <c r="W81" s="1668">
        <f t="shared" si="55"/>
        <v>0</v>
      </c>
      <c r="X81" s="1668">
        <f t="shared" si="55"/>
        <v>0</v>
      </c>
      <c r="Y81" s="470"/>
      <c r="AL81" s="1604"/>
    </row>
    <row r="82" spans="1:38" ht="20.25" hidden="1" customHeight="1">
      <c r="A82" s="470"/>
      <c r="B82" s="470"/>
      <c r="C82" s="470"/>
      <c r="D82" s="470"/>
      <c r="E82" s="470"/>
      <c r="F82" s="1669"/>
      <c r="G82" s="1656" t="s">
        <v>1746</v>
      </c>
      <c r="H82" s="1670">
        <f t="shared" ref="H82:X82" si="56">SUM(H61:H81)</f>
        <v>0</v>
      </c>
      <c r="I82" s="1670">
        <f t="shared" si="56"/>
        <v>0</v>
      </c>
      <c r="J82" s="1670">
        <f t="shared" si="56"/>
        <v>0</v>
      </c>
      <c r="K82" s="1670">
        <f t="shared" si="56"/>
        <v>0</v>
      </c>
      <c r="L82" s="1670">
        <f t="shared" ref="L82" si="57">SUM(L61:L81)</f>
        <v>0</v>
      </c>
      <c r="M82" s="1670">
        <f t="shared" si="56"/>
        <v>0</v>
      </c>
      <c r="N82" s="1670">
        <f t="shared" si="56"/>
        <v>0</v>
      </c>
      <c r="O82" s="1670">
        <f t="shared" si="56"/>
        <v>0</v>
      </c>
      <c r="P82" s="1670">
        <f t="shared" si="56"/>
        <v>0</v>
      </c>
      <c r="Q82" s="1670">
        <f t="shared" si="56"/>
        <v>0</v>
      </c>
      <c r="R82" s="1670">
        <f t="shared" si="56"/>
        <v>0</v>
      </c>
      <c r="S82" s="1670">
        <f t="shared" si="56"/>
        <v>0</v>
      </c>
      <c r="T82" s="1670">
        <f t="shared" si="56"/>
        <v>0</v>
      </c>
      <c r="U82" s="1670">
        <f t="shared" si="56"/>
        <v>0</v>
      </c>
      <c r="V82" s="1670">
        <f t="shared" si="56"/>
        <v>0</v>
      </c>
      <c r="W82" s="1670">
        <f t="shared" si="56"/>
        <v>0</v>
      </c>
      <c r="X82" s="1670">
        <f t="shared" si="56"/>
        <v>0</v>
      </c>
      <c r="Y82" s="470"/>
      <c r="AL82" s="1604"/>
    </row>
    <row r="83" spans="1:38" hidden="1">
      <c r="A83" s="470"/>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AL83" s="1604"/>
    </row>
    <row r="84" spans="1:38" ht="13.5" hidden="1" thickBot="1">
      <c r="A84" s="470"/>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AL84" s="1604"/>
    </row>
    <row r="85" spans="1:38" ht="14.25" hidden="1">
      <c r="A85" s="470"/>
      <c r="B85" s="470"/>
      <c r="C85" s="470"/>
      <c r="D85" s="470"/>
      <c r="E85" s="470"/>
      <c r="F85" s="470"/>
      <c r="G85" s="1656" t="s">
        <v>359</v>
      </c>
      <c r="H85" s="1657" t="s">
        <v>1749</v>
      </c>
      <c r="I85" s="1671"/>
      <c r="J85" s="1671"/>
      <c r="K85" s="1671"/>
      <c r="L85" s="1767"/>
      <c r="M85" s="1671"/>
      <c r="N85" s="1671"/>
      <c r="O85" s="1671"/>
      <c r="P85" s="1671"/>
      <c r="Q85" s="1671"/>
      <c r="R85" s="1671"/>
      <c r="S85" s="1671"/>
      <c r="T85" s="1671"/>
      <c r="U85" s="1671"/>
      <c r="V85" s="1671"/>
      <c r="W85" s="1671"/>
      <c r="X85" s="1671"/>
      <c r="Y85" s="1658"/>
      <c r="AL85" s="1604"/>
    </row>
    <row r="86" spans="1:38" ht="14.25" hidden="1">
      <c r="A86" s="470"/>
      <c r="B86" s="470"/>
      <c r="C86" s="470"/>
      <c r="D86" s="470"/>
      <c r="E86" s="470"/>
      <c r="F86" s="470"/>
      <c r="G86" s="1656"/>
      <c r="H86" s="1672">
        <f>AG9</f>
        <v>0</v>
      </c>
      <c r="I86" s="1673">
        <f>AG10</f>
        <v>0</v>
      </c>
      <c r="J86" s="1673">
        <f>AG11</f>
        <v>0</v>
      </c>
      <c r="K86" s="1673">
        <f>AG12</f>
        <v>0</v>
      </c>
      <c r="L86" s="1673">
        <f>AG13</f>
        <v>0</v>
      </c>
      <c r="M86" s="1674">
        <f>AG15</f>
        <v>0</v>
      </c>
      <c r="N86" s="1673">
        <f>AG16</f>
        <v>0</v>
      </c>
      <c r="O86" s="1673">
        <f>AG17</f>
        <v>0</v>
      </c>
      <c r="P86" s="1673">
        <f>AG18</f>
        <v>0</v>
      </c>
      <c r="Q86" s="1673">
        <f>AG19</f>
        <v>0</v>
      </c>
      <c r="R86" s="1673">
        <f>AG20</f>
        <v>0</v>
      </c>
      <c r="S86" s="1673">
        <f>AG21</f>
        <v>0</v>
      </c>
      <c r="T86" s="1673">
        <f>AG22</f>
        <v>0</v>
      </c>
      <c r="U86" s="1673">
        <f>AG24</f>
        <v>0</v>
      </c>
      <c r="V86" s="1673">
        <f>AG25</f>
        <v>0</v>
      </c>
      <c r="W86" s="1673">
        <f>AG26</f>
        <v>0</v>
      </c>
      <c r="X86" s="1673">
        <f>AG27</f>
        <v>0</v>
      </c>
      <c r="Y86" s="1658"/>
      <c r="AL86" s="1604"/>
    </row>
    <row r="87" spans="1:38" ht="17.25" hidden="1" customHeight="1">
      <c r="A87" s="470"/>
      <c r="B87" s="470"/>
      <c r="C87" s="470"/>
      <c r="D87" s="470"/>
      <c r="E87" s="470"/>
      <c r="F87" s="1659">
        <f>B37</f>
        <v>0</v>
      </c>
      <c r="G87" s="1790">
        <f>SUM(H87:X87)</f>
        <v>0</v>
      </c>
      <c r="H87" s="1661">
        <f t="shared" ref="H87:X87" si="58">H9*H$86*$C9</f>
        <v>0</v>
      </c>
      <c r="I87" s="1661">
        <f t="shared" si="58"/>
        <v>0</v>
      </c>
      <c r="J87" s="1661">
        <f t="shared" si="58"/>
        <v>0</v>
      </c>
      <c r="K87" s="1661">
        <f t="shared" si="58"/>
        <v>0</v>
      </c>
      <c r="L87" s="1661">
        <f t="shared" si="58"/>
        <v>0</v>
      </c>
      <c r="M87" s="1661">
        <f t="shared" si="58"/>
        <v>0</v>
      </c>
      <c r="N87" s="1661">
        <f t="shared" si="58"/>
        <v>0</v>
      </c>
      <c r="O87" s="1661">
        <f t="shared" si="58"/>
        <v>0</v>
      </c>
      <c r="P87" s="1661">
        <f t="shared" si="58"/>
        <v>0</v>
      </c>
      <c r="Q87" s="1661">
        <f t="shared" si="58"/>
        <v>0</v>
      </c>
      <c r="R87" s="1661">
        <f t="shared" si="58"/>
        <v>0</v>
      </c>
      <c r="S87" s="1661">
        <f t="shared" si="58"/>
        <v>0</v>
      </c>
      <c r="T87" s="1661">
        <f t="shared" si="58"/>
        <v>0</v>
      </c>
      <c r="U87" s="1661">
        <f t="shared" si="58"/>
        <v>0</v>
      </c>
      <c r="V87" s="1661">
        <f t="shared" si="58"/>
        <v>0</v>
      </c>
      <c r="W87" s="1661">
        <f t="shared" si="58"/>
        <v>0</v>
      </c>
      <c r="X87" s="1661">
        <f t="shared" si="58"/>
        <v>0</v>
      </c>
      <c r="Z87" s="1662">
        <f t="shared" ref="Z87:Z107" si="59">B9</f>
        <v>0</v>
      </c>
      <c r="AA87" s="1804"/>
      <c r="AB87" s="1804"/>
      <c r="AC87" s="1804"/>
      <c r="AL87" s="1604"/>
    </row>
    <row r="88" spans="1:38" ht="17.25" hidden="1" customHeight="1">
      <c r="A88" s="470"/>
      <c r="B88" s="470"/>
      <c r="C88" s="470"/>
      <c r="D88" s="470"/>
      <c r="E88" s="470"/>
      <c r="F88" s="1659">
        <f t="shared" ref="F88:F98" si="60">B38</f>
        <v>0</v>
      </c>
      <c r="G88" s="1790">
        <f t="shared" ref="G88:G100" si="61">SUM(H88:X88)</f>
        <v>0</v>
      </c>
      <c r="H88" s="1661">
        <f t="shared" ref="H88:X88" si="62">H10*H$86*$C10</f>
        <v>0</v>
      </c>
      <c r="I88" s="1661">
        <f t="shared" si="62"/>
        <v>0</v>
      </c>
      <c r="J88" s="1661">
        <f t="shared" si="62"/>
        <v>0</v>
      </c>
      <c r="K88" s="1661">
        <f t="shared" si="62"/>
        <v>0</v>
      </c>
      <c r="L88" s="1661">
        <f t="shared" si="62"/>
        <v>0</v>
      </c>
      <c r="M88" s="1661">
        <f t="shared" si="62"/>
        <v>0</v>
      </c>
      <c r="N88" s="1661">
        <f t="shared" si="62"/>
        <v>0</v>
      </c>
      <c r="O88" s="1661">
        <f t="shared" si="62"/>
        <v>0</v>
      </c>
      <c r="P88" s="1661">
        <f t="shared" si="62"/>
        <v>0</v>
      </c>
      <c r="Q88" s="1661">
        <f t="shared" si="62"/>
        <v>0</v>
      </c>
      <c r="R88" s="1661">
        <f t="shared" si="62"/>
        <v>0</v>
      </c>
      <c r="S88" s="1661">
        <f t="shared" si="62"/>
        <v>0</v>
      </c>
      <c r="T88" s="1661">
        <f t="shared" si="62"/>
        <v>0</v>
      </c>
      <c r="U88" s="1661">
        <f t="shared" si="62"/>
        <v>0</v>
      </c>
      <c r="V88" s="1661">
        <f t="shared" si="62"/>
        <v>0</v>
      </c>
      <c r="W88" s="1661">
        <f t="shared" si="62"/>
        <v>0</v>
      </c>
      <c r="X88" s="1661">
        <f t="shared" si="62"/>
        <v>0</v>
      </c>
      <c r="Z88" s="1662">
        <f t="shared" si="59"/>
        <v>0</v>
      </c>
      <c r="AA88" s="1804"/>
      <c r="AB88" s="1804"/>
      <c r="AC88" s="1804"/>
      <c r="AL88" s="1604"/>
    </row>
    <row r="89" spans="1:38" ht="17.25" hidden="1" customHeight="1">
      <c r="A89" s="470"/>
      <c r="B89" s="470"/>
      <c r="C89" s="470"/>
      <c r="D89" s="470"/>
      <c r="E89" s="470"/>
      <c r="F89" s="1659">
        <f t="shared" si="60"/>
        <v>0</v>
      </c>
      <c r="G89" s="1790">
        <f t="shared" si="61"/>
        <v>0</v>
      </c>
      <c r="H89" s="1661">
        <f t="shared" ref="H89:X89" si="63">H11*H$86*$C11</f>
        <v>0</v>
      </c>
      <c r="I89" s="1661">
        <f t="shared" si="63"/>
        <v>0</v>
      </c>
      <c r="J89" s="1661">
        <f t="shared" si="63"/>
        <v>0</v>
      </c>
      <c r="K89" s="1661">
        <f t="shared" si="63"/>
        <v>0</v>
      </c>
      <c r="L89" s="1661">
        <f t="shared" si="63"/>
        <v>0</v>
      </c>
      <c r="M89" s="1661">
        <f t="shared" si="63"/>
        <v>0</v>
      </c>
      <c r="N89" s="1661">
        <f t="shared" si="63"/>
        <v>0</v>
      </c>
      <c r="O89" s="1661">
        <f t="shared" si="63"/>
        <v>0</v>
      </c>
      <c r="P89" s="1661">
        <f t="shared" si="63"/>
        <v>0</v>
      </c>
      <c r="Q89" s="1661">
        <f t="shared" si="63"/>
        <v>0</v>
      </c>
      <c r="R89" s="1661">
        <f t="shared" si="63"/>
        <v>0</v>
      </c>
      <c r="S89" s="1661">
        <f t="shared" si="63"/>
        <v>0</v>
      </c>
      <c r="T89" s="1661">
        <f t="shared" si="63"/>
        <v>0</v>
      </c>
      <c r="U89" s="1661">
        <f t="shared" si="63"/>
        <v>0</v>
      </c>
      <c r="V89" s="1661">
        <f t="shared" si="63"/>
        <v>0</v>
      </c>
      <c r="W89" s="1661">
        <f t="shared" si="63"/>
        <v>0</v>
      </c>
      <c r="X89" s="1661">
        <f t="shared" si="63"/>
        <v>0</v>
      </c>
      <c r="Z89" s="1662">
        <f t="shared" si="59"/>
        <v>0</v>
      </c>
      <c r="AA89" s="1804"/>
      <c r="AB89" s="1804"/>
      <c r="AC89" s="1804"/>
      <c r="AL89" s="1604"/>
    </row>
    <row r="90" spans="1:38" ht="17.25" hidden="1" customHeight="1">
      <c r="A90" s="470"/>
      <c r="B90" s="470"/>
      <c r="C90" s="470"/>
      <c r="D90" s="470"/>
      <c r="E90" s="470"/>
      <c r="F90" s="1659">
        <f t="shared" si="60"/>
        <v>0</v>
      </c>
      <c r="G90" s="1790">
        <f t="shared" si="61"/>
        <v>0</v>
      </c>
      <c r="H90" s="1661">
        <f t="shared" ref="H90:X90" si="64">H12*H$86*$C12</f>
        <v>0</v>
      </c>
      <c r="I90" s="1661">
        <f t="shared" si="64"/>
        <v>0</v>
      </c>
      <c r="J90" s="1661">
        <f t="shared" si="64"/>
        <v>0</v>
      </c>
      <c r="K90" s="1661">
        <f t="shared" si="64"/>
        <v>0</v>
      </c>
      <c r="L90" s="1661">
        <f t="shared" si="64"/>
        <v>0</v>
      </c>
      <c r="M90" s="1661">
        <f t="shared" si="64"/>
        <v>0</v>
      </c>
      <c r="N90" s="1661">
        <f t="shared" si="64"/>
        <v>0</v>
      </c>
      <c r="O90" s="1661">
        <f t="shared" si="64"/>
        <v>0</v>
      </c>
      <c r="P90" s="1661">
        <f t="shared" si="64"/>
        <v>0</v>
      </c>
      <c r="Q90" s="1661">
        <f t="shared" si="64"/>
        <v>0</v>
      </c>
      <c r="R90" s="1661">
        <f t="shared" si="64"/>
        <v>0</v>
      </c>
      <c r="S90" s="1661">
        <f t="shared" si="64"/>
        <v>0</v>
      </c>
      <c r="T90" s="1661">
        <f t="shared" si="64"/>
        <v>0</v>
      </c>
      <c r="U90" s="1661">
        <f t="shared" si="64"/>
        <v>0</v>
      </c>
      <c r="V90" s="1661">
        <f t="shared" si="64"/>
        <v>0</v>
      </c>
      <c r="W90" s="1661">
        <f t="shared" si="64"/>
        <v>0</v>
      </c>
      <c r="X90" s="1661">
        <f t="shared" si="64"/>
        <v>0</v>
      </c>
      <c r="Z90" s="1662">
        <f t="shared" si="59"/>
        <v>0</v>
      </c>
      <c r="AA90" s="1804"/>
      <c r="AB90" s="1804"/>
      <c r="AC90" s="1804"/>
      <c r="AL90" s="1604"/>
    </row>
    <row r="91" spans="1:38" ht="17.25" hidden="1" customHeight="1">
      <c r="A91" s="470"/>
      <c r="B91" s="470"/>
      <c r="C91" s="470"/>
      <c r="D91" s="470"/>
      <c r="E91" s="470"/>
      <c r="F91" s="1659">
        <f t="shared" si="60"/>
        <v>0</v>
      </c>
      <c r="G91" s="1790">
        <f t="shared" si="61"/>
        <v>0</v>
      </c>
      <c r="H91" s="1661">
        <f t="shared" ref="H91:X91" si="65">H13*H$86*$C13</f>
        <v>0</v>
      </c>
      <c r="I91" s="1661">
        <f t="shared" si="65"/>
        <v>0</v>
      </c>
      <c r="J91" s="1661">
        <f t="shared" si="65"/>
        <v>0</v>
      </c>
      <c r="K91" s="1661">
        <f t="shared" si="65"/>
        <v>0</v>
      </c>
      <c r="L91" s="1661">
        <f t="shared" si="65"/>
        <v>0</v>
      </c>
      <c r="M91" s="1661">
        <f t="shared" si="65"/>
        <v>0</v>
      </c>
      <c r="N91" s="1661">
        <f t="shared" si="65"/>
        <v>0</v>
      </c>
      <c r="O91" s="1661">
        <f t="shared" si="65"/>
        <v>0</v>
      </c>
      <c r="P91" s="1661">
        <f t="shared" si="65"/>
        <v>0</v>
      </c>
      <c r="Q91" s="1661">
        <f t="shared" si="65"/>
        <v>0</v>
      </c>
      <c r="R91" s="1661">
        <f t="shared" si="65"/>
        <v>0</v>
      </c>
      <c r="S91" s="1661">
        <f t="shared" si="65"/>
        <v>0</v>
      </c>
      <c r="T91" s="1661">
        <f t="shared" si="65"/>
        <v>0</v>
      </c>
      <c r="U91" s="1661">
        <f t="shared" si="65"/>
        <v>0</v>
      </c>
      <c r="V91" s="1661">
        <f t="shared" si="65"/>
        <v>0</v>
      </c>
      <c r="W91" s="1661">
        <f t="shared" si="65"/>
        <v>0</v>
      </c>
      <c r="X91" s="1661">
        <f t="shared" si="65"/>
        <v>0</v>
      </c>
      <c r="Z91" s="1662">
        <f t="shared" si="59"/>
        <v>0</v>
      </c>
      <c r="AA91" s="1804"/>
      <c r="AB91" s="1804"/>
      <c r="AC91" s="1804"/>
      <c r="AL91" s="1604"/>
    </row>
    <row r="92" spans="1:38" ht="17.25" hidden="1" customHeight="1">
      <c r="A92" s="470"/>
      <c r="B92" s="470"/>
      <c r="C92" s="470"/>
      <c r="D92" s="470"/>
      <c r="E92" s="470"/>
      <c r="F92" s="1659">
        <f t="shared" si="60"/>
        <v>0</v>
      </c>
      <c r="G92" s="1790">
        <f t="shared" si="61"/>
        <v>0</v>
      </c>
      <c r="H92" s="1661">
        <f t="shared" ref="H92:X92" si="66">H14*H$86*$C14</f>
        <v>0</v>
      </c>
      <c r="I92" s="1661">
        <f t="shared" si="66"/>
        <v>0</v>
      </c>
      <c r="J92" s="1661">
        <f t="shared" si="66"/>
        <v>0</v>
      </c>
      <c r="K92" s="1661">
        <f t="shared" si="66"/>
        <v>0</v>
      </c>
      <c r="L92" s="1661">
        <f t="shared" si="66"/>
        <v>0</v>
      </c>
      <c r="M92" s="1661">
        <f t="shared" si="66"/>
        <v>0</v>
      </c>
      <c r="N92" s="1661">
        <f t="shared" si="66"/>
        <v>0</v>
      </c>
      <c r="O92" s="1661">
        <f t="shared" si="66"/>
        <v>0</v>
      </c>
      <c r="P92" s="1661">
        <f t="shared" si="66"/>
        <v>0</v>
      </c>
      <c r="Q92" s="1661">
        <f t="shared" si="66"/>
        <v>0</v>
      </c>
      <c r="R92" s="1661">
        <f t="shared" si="66"/>
        <v>0</v>
      </c>
      <c r="S92" s="1661">
        <f t="shared" si="66"/>
        <v>0</v>
      </c>
      <c r="T92" s="1661">
        <f t="shared" si="66"/>
        <v>0</v>
      </c>
      <c r="U92" s="1661">
        <f t="shared" si="66"/>
        <v>0</v>
      </c>
      <c r="V92" s="1661">
        <f t="shared" si="66"/>
        <v>0</v>
      </c>
      <c r="W92" s="1661">
        <f t="shared" si="66"/>
        <v>0</v>
      </c>
      <c r="X92" s="1661">
        <f t="shared" si="66"/>
        <v>0</v>
      </c>
      <c r="Z92" s="1662">
        <f t="shared" si="59"/>
        <v>0</v>
      </c>
      <c r="AA92" s="1804"/>
      <c r="AB92" s="1804"/>
      <c r="AC92" s="1804"/>
      <c r="AL92" s="1604"/>
    </row>
    <row r="93" spans="1:38" ht="17.25" hidden="1" customHeight="1">
      <c r="A93" s="470"/>
      <c r="B93" s="470"/>
      <c r="C93" s="470"/>
      <c r="D93" s="470"/>
      <c r="E93" s="470"/>
      <c r="F93" s="1659">
        <f t="shared" si="60"/>
        <v>0</v>
      </c>
      <c r="G93" s="1790">
        <f t="shared" si="61"/>
        <v>0</v>
      </c>
      <c r="H93" s="1661">
        <f t="shared" ref="H93:X93" si="67">H15*H$86*$C15</f>
        <v>0</v>
      </c>
      <c r="I93" s="1661">
        <f t="shared" si="67"/>
        <v>0</v>
      </c>
      <c r="J93" s="1661">
        <f t="shared" si="67"/>
        <v>0</v>
      </c>
      <c r="K93" s="1661">
        <f t="shared" si="67"/>
        <v>0</v>
      </c>
      <c r="L93" s="1661">
        <f t="shared" si="67"/>
        <v>0</v>
      </c>
      <c r="M93" s="1661">
        <f t="shared" si="67"/>
        <v>0</v>
      </c>
      <c r="N93" s="1661">
        <f t="shared" si="67"/>
        <v>0</v>
      </c>
      <c r="O93" s="1661">
        <f t="shared" si="67"/>
        <v>0</v>
      </c>
      <c r="P93" s="1661">
        <f t="shared" si="67"/>
        <v>0</v>
      </c>
      <c r="Q93" s="1661">
        <f t="shared" si="67"/>
        <v>0</v>
      </c>
      <c r="R93" s="1661">
        <f t="shared" si="67"/>
        <v>0</v>
      </c>
      <c r="S93" s="1661">
        <f t="shared" si="67"/>
        <v>0</v>
      </c>
      <c r="T93" s="1661">
        <f t="shared" si="67"/>
        <v>0</v>
      </c>
      <c r="U93" s="1661">
        <f t="shared" si="67"/>
        <v>0</v>
      </c>
      <c r="V93" s="1661">
        <f t="shared" si="67"/>
        <v>0</v>
      </c>
      <c r="W93" s="1661">
        <f t="shared" si="67"/>
        <v>0</v>
      </c>
      <c r="X93" s="1661">
        <f t="shared" si="67"/>
        <v>0</v>
      </c>
      <c r="Z93" s="1662">
        <f t="shared" si="59"/>
        <v>0</v>
      </c>
      <c r="AA93" s="1804"/>
      <c r="AB93" s="1804"/>
      <c r="AC93" s="1804"/>
      <c r="AL93" s="1604"/>
    </row>
    <row r="94" spans="1:38" ht="17.25" hidden="1" customHeight="1">
      <c r="A94" s="470"/>
      <c r="B94" s="470"/>
      <c r="C94" s="470"/>
      <c r="D94" s="470"/>
      <c r="E94" s="470"/>
      <c r="F94" s="1659">
        <f t="shared" si="60"/>
        <v>0</v>
      </c>
      <c r="G94" s="1790">
        <f t="shared" si="61"/>
        <v>0</v>
      </c>
      <c r="H94" s="1661">
        <f t="shared" ref="H94:X94" si="68">H16*H$86*$C16</f>
        <v>0</v>
      </c>
      <c r="I94" s="1661">
        <f t="shared" si="68"/>
        <v>0</v>
      </c>
      <c r="J94" s="1661">
        <f t="shared" si="68"/>
        <v>0</v>
      </c>
      <c r="K94" s="1661">
        <f t="shared" si="68"/>
        <v>0</v>
      </c>
      <c r="L94" s="1661">
        <f t="shared" si="68"/>
        <v>0</v>
      </c>
      <c r="M94" s="1661">
        <f t="shared" si="68"/>
        <v>0</v>
      </c>
      <c r="N94" s="1661">
        <f t="shared" si="68"/>
        <v>0</v>
      </c>
      <c r="O94" s="1661">
        <f t="shared" si="68"/>
        <v>0</v>
      </c>
      <c r="P94" s="1661">
        <f t="shared" si="68"/>
        <v>0</v>
      </c>
      <c r="Q94" s="1661">
        <f t="shared" si="68"/>
        <v>0</v>
      </c>
      <c r="R94" s="1661">
        <f t="shared" si="68"/>
        <v>0</v>
      </c>
      <c r="S94" s="1661">
        <f t="shared" si="68"/>
        <v>0</v>
      </c>
      <c r="T94" s="1661">
        <f t="shared" si="68"/>
        <v>0</v>
      </c>
      <c r="U94" s="1661">
        <f t="shared" si="68"/>
        <v>0</v>
      </c>
      <c r="V94" s="1661">
        <f t="shared" si="68"/>
        <v>0</v>
      </c>
      <c r="W94" s="1661">
        <f t="shared" si="68"/>
        <v>0</v>
      </c>
      <c r="X94" s="1661">
        <f t="shared" si="68"/>
        <v>0</v>
      </c>
      <c r="Z94" s="1662">
        <f t="shared" si="59"/>
        <v>0</v>
      </c>
      <c r="AA94" s="1804"/>
      <c r="AB94" s="1804"/>
      <c r="AC94" s="1804"/>
      <c r="AL94" s="1604"/>
    </row>
    <row r="95" spans="1:38" ht="17.25" hidden="1" customHeight="1">
      <c r="A95" s="470"/>
      <c r="B95" s="470"/>
      <c r="C95" s="470"/>
      <c r="D95" s="470"/>
      <c r="E95" s="470"/>
      <c r="F95" s="1659">
        <f t="shared" si="60"/>
        <v>0</v>
      </c>
      <c r="G95" s="1790">
        <f t="shared" si="61"/>
        <v>0</v>
      </c>
      <c r="H95" s="1661">
        <f t="shared" ref="H95:X95" si="69">H17*H$86*$C17</f>
        <v>0</v>
      </c>
      <c r="I95" s="1661">
        <f t="shared" si="69"/>
        <v>0</v>
      </c>
      <c r="J95" s="1661">
        <f t="shared" si="69"/>
        <v>0</v>
      </c>
      <c r="K95" s="1661">
        <f t="shared" si="69"/>
        <v>0</v>
      </c>
      <c r="L95" s="1661">
        <f t="shared" si="69"/>
        <v>0</v>
      </c>
      <c r="M95" s="1661">
        <f t="shared" si="69"/>
        <v>0</v>
      </c>
      <c r="N95" s="1661">
        <f t="shared" si="69"/>
        <v>0</v>
      </c>
      <c r="O95" s="1661">
        <f t="shared" si="69"/>
        <v>0</v>
      </c>
      <c r="P95" s="1661">
        <f t="shared" si="69"/>
        <v>0</v>
      </c>
      <c r="Q95" s="1661">
        <f t="shared" si="69"/>
        <v>0</v>
      </c>
      <c r="R95" s="1661">
        <f t="shared" si="69"/>
        <v>0</v>
      </c>
      <c r="S95" s="1661">
        <f t="shared" si="69"/>
        <v>0</v>
      </c>
      <c r="T95" s="1661">
        <f t="shared" si="69"/>
        <v>0</v>
      </c>
      <c r="U95" s="1661">
        <f t="shared" si="69"/>
        <v>0</v>
      </c>
      <c r="V95" s="1661">
        <f t="shared" si="69"/>
        <v>0</v>
      </c>
      <c r="W95" s="1661">
        <f t="shared" si="69"/>
        <v>0</v>
      </c>
      <c r="X95" s="1661">
        <f t="shared" si="69"/>
        <v>0</v>
      </c>
      <c r="Z95" s="1662">
        <f t="shared" si="59"/>
        <v>0</v>
      </c>
      <c r="AA95" s="1804"/>
      <c r="AB95" s="1804"/>
      <c r="AC95" s="1804"/>
      <c r="AL95" s="1604"/>
    </row>
    <row r="96" spans="1:38" ht="17.25" hidden="1" customHeight="1">
      <c r="A96" s="470"/>
      <c r="B96" s="470"/>
      <c r="C96" s="470"/>
      <c r="D96" s="470"/>
      <c r="E96" s="470"/>
      <c r="F96" s="1659">
        <f t="shared" si="60"/>
        <v>0</v>
      </c>
      <c r="G96" s="1790">
        <f t="shared" si="61"/>
        <v>0</v>
      </c>
      <c r="H96" s="1661">
        <f t="shared" ref="H96:X96" si="70">H18*H$86*$C18</f>
        <v>0</v>
      </c>
      <c r="I96" s="1661">
        <f t="shared" si="70"/>
        <v>0</v>
      </c>
      <c r="J96" s="1661">
        <f t="shared" si="70"/>
        <v>0</v>
      </c>
      <c r="K96" s="1661">
        <f t="shared" si="70"/>
        <v>0</v>
      </c>
      <c r="L96" s="1661">
        <f t="shared" si="70"/>
        <v>0</v>
      </c>
      <c r="M96" s="1661">
        <f t="shared" si="70"/>
        <v>0</v>
      </c>
      <c r="N96" s="1661">
        <f t="shared" si="70"/>
        <v>0</v>
      </c>
      <c r="O96" s="1661">
        <f t="shared" si="70"/>
        <v>0</v>
      </c>
      <c r="P96" s="1661">
        <f t="shared" si="70"/>
        <v>0</v>
      </c>
      <c r="Q96" s="1661">
        <f t="shared" si="70"/>
        <v>0</v>
      </c>
      <c r="R96" s="1661">
        <f t="shared" si="70"/>
        <v>0</v>
      </c>
      <c r="S96" s="1661">
        <f t="shared" si="70"/>
        <v>0</v>
      </c>
      <c r="T96" s="1661">
        <f t="shared" si="70"/>
        <v>0</v>
      </c>
      <c r="U96" s="1661">
        <f t="shared" si="70"/>
        <v>0</v>
      </c>
      <c r="V96" s="1661">
        <f t="shared" si="70"/>
        <v>0</v>
      </c>
      <c r="W96" s="1661">
        <f t="shared" si="70"/>
        <v>0</v>
      </c>
      <c r="X96" s="1661">
        <f t="shared" si="70"/>
        <v>0</v>
      </c>
      <c r="Z96" s="1662">
        <f t="shared" si="59"/>
        <v>0</v>
      </c>
      <c r="AA96" s="1804"/>
      <c r="AB96" s="1804"/>
      <c r="AC96" s="1804"/>
      <c r="AL96" s="1604"/>
    </row>
    <row r="97" spans="1:38" ht="17.25" hidden="1" customHeight="1">
      <c r="A97" s="470"/>
      <c r="B97" s="470"/>
      <c r="C97" s="470"/>
      <c r="D97" s="470"/>
      <c r="E97" s="470"/>
      <c r="F97" s="1659">
        <f t="shared" si="60"/>
        <v>0</v>
      </c>
      <c r="G97" s="1790">
        <f t="shared" si="61"/>
        <v>0</v>
      </c>
      <c r="H97" s="1661">
        <f t="shared" ref="H97:X97" si="71">H19*H$86*$C19</f>
        <v>0</v>
      </c>
      <c r="I97" s="1661">
        <f t="shared" si="71"/>
        <v>0</v>
      </c>
      <c r="J97" s="1661">
        <f t="shared" si="71"/>
        <v>0</v>
      </c>
      <c r="K97" s="1661">
        <f t="shared" si="71"/>
        <v>0</v>
      </c>
      <c r="L97" s="1661">
        <f t="shared" si="71"/>
        <v>0</v>
      </c>
      <c r="M97" s="1661">
        <f t="shared" si="71"/>
        <v>0</v>
      </c>
      <c r="N97" s="1661">
        <f t="shared" si="71"/>
        <v>0</v>
      </c>
      <c r="O97" s="1661">
        <f t="shared" si="71"/>
        <v>0</v>
      </c>
      <c r="P97" s="1661">
        <f t="shared" si="71"/>
        <v>0</v>
      </c>
      <c r="Q97" s="1661">
        <f t="shared" si="71"/>
        <v>0</v>
      </c>
      <c r="R97" s="1661">
        <f t="shared" si="71"/>
        <v>0</v>
      </c>
      <c r="S97" s="1661">
        <f t="shared" si="71"/>
        <v>0</v>
      </c>
      <c r="T97" s="1661">
        <f t="shared" si="71"/>
        <v>0</v>
      </c>
      <c r="U97" s="1661">
        <f t="shared" si="71"/>
        <v>0</v>
      </c>
      <c r="V97" s="1661">
        <f t="shared" si="71"/>
        <v>0</v>
      </c>
      <c r="W97" s="1661">
        <f t="shared" si="71"/>
        <v>0</v>
      </c>
      <c r="X97" s="1661">
        <f t="shared" si="71"/>
        <v>0</v>
      </c>
      <c r="Z97" s="1662">
        <f t="shared" si="59"/>
        <v>0</v>
      </c>
      <c r="AA97" s="1804"/>
      <c r="AB97" s="1804"/>
      <c r="AC97" s="1804"/>
      <c r="AL97" s="1604"/>
    </row>
    <row r="98" spans="1:38" ht="17.25" hidden="1" customHeight="1">
      <c r="A98" s="470"/>
      <c r="B98" s="470"/>
      <c r="C98" s="470"/>
      <c r="D98" s="470"/>
      <c r="E98" s="470"/>
      <c r="F98" s="1659">
        <f t="shared" si="60"/>
        <v>0</v>
      </c>
      <c r="G98" s="1790">
        <f t="shared" si="61"/>
        <v>0</v>
      </c>
      <c r="H98" s="1661">
        <f t="shared" ref="H98:X98" si="72">H20*H$86*$C20</f>
        <v>0</v>
      </c>
      <c r="I98" s="1661">
        <f t="shared" si="72"/>
        <v>0</v>
      </c>
      <c r="J98" s="1661">
        <f t="shared" si="72"/>
        <v>0</v>
      </c>
      <c r="K98" s="1661">
        <f t="shared" si="72"/>
        <v>0</v>
      </c>
      <c r="L98" s="1661">
        <f t="shared" si="72"/>
        <v>0</v>
      </c>
      <c r="M98" s="1661">
        <f t="shared" si="72"/>
        <v>0</v>
      </c>
      <c r="N98" s="1661">
        <f t="shared" si="72"/>
        <v>0</v>
      </c>
      <c r="O98" s="1661">
        <f t="shared" si="72"/>
        <v>0</v>
      </c>
      <c r="P98" s="1661">
        <f t="shared" si="72"/>
        <v>0</v>
      </c>
      <c r="Q98" s="1661">
        <f t="shared" si="72"/>
        <v>0</v>
      </c>
      <c r="R98" s="1661">
        <f t="shared" si="72"/>
        <v>0</v>
      </c>
      <c r="S98" s="1661">
        <f t="shared" si="72"/>
        <v>0</v>
      </c>
      <c r="T98" s="1661">
        <f t="shared" si="72"/>
        <v>0</v>
      </c>
      <c r="U98" s="1661">
        <f t="shared" si="72"/>
        <v>0</v>
      </c>
      <c r="V98" s="1661">
        <f t="shared" si="72"/>
        <v>0</v>
      </c>
      <c r="W98" s="1661">
        <f t="shared" si="72"/>
        <v>0</v>
      </c>
      <c r="X98" s="1661">
        <f t="shared" si="72"/>
        <v>0</v>
      </c>
      <c r="Z98" s="1662">
        <f t="shared" si="59"/>
        <v>0</v>
      </c>
      <c r="AA98" s="1804"/>
      <c r="AB98" s="1804"/>
      <c r="AC98" s="1804"/>
      <c r="AL98" s="1604"/>
    </row>
    <row r="99" spans="1:38" ht="17.25" hidden="1" customHeight="1">
      <c r="A99" s="470"/>
      <c r="B99" s="470"/>
      <c r="C99" s="470"/>
      <c r="D99" s="470"/>
      <c r="E99" s="470"/>
      <c r="F99" s="1659">
        <f>B49</f>
        <v>0</v>
      </c>
      <c r="G99" s="1790">
        <f t="shared" si="61"/>
        <v>0</v>
      </c>
      <c r="H99" s="1661">
        <f t="shared" ref="H99:X99" si="73">H21*H$86*$C21</f>
        <v>0</v>
      </c>
      <c r="I99" s="1661">
        <f t="shared" si="73"/>
        <v>0</v>
      </c>
      <c r="J99" s="1661">
        <f t="shared" si="73"/>
        <v>0</v>
      </c>
      <c r="K99" s="1661">
        <f t="shared" si="73"/>
        <v>0</v>
      </c>
      <c r="L99" s="1661">
        <f t="shared" si="73"/>
        <v>0</v>
      </c>
      <c r="M99" s="1661">
        <f t="shared" si="73"/>
        <v>0</v>
      </c>
      <c r="N99" s="1661">
        <f t="shared" si="73"/>
        <v>0</v>
      </c>
      <c r="O99" s="1661">
        <f t="shared" si="73"/>
        <v>0</v>
      </c>
      <c r="P99" s="1661">
        <f t="shared" si="73"/>
        <v>0</v>
      </c>
      <c r="Q99" s="1661">
        <f t="shared" si="73"/>
        <v>0</v>
      </c>
      <c r="R99" s="1661">
        <f t="shared" si="73"/>
        <v>0</v>
      </c>
      <c r="S99" s="1661">
        <f t="shared" si="73"/>
        <v>0</v>
      </c>
      <c r="T99" s="1661">
        <f t="shared" si="73"/>
        <v>0</v>
      </c>
      <c r="U99" s="1661">
        <f t="shared" si="73"/>
        <v>0</v>
      </c>
      <c r="V99" s="1661">
        <f t="shared" si="73"/>
        <v>0</v>
      </c>
      <c r="W99" s="1661">
        <f t="shared" si="73"/>
        <v>0</v>
      </c>
      <c r="X99" s="1661">
        <f t="shared" si="73"/>
        <v>0</v>
      </c>
      <c r="Z99" s="1662">
        <f t="shared" si="59"/>
        <v>0</v>
      </c>
      <c r="AA99" s="1804"/>
      <c r="AB99" s="1804"/>
      <c r="AC99" s="1804"/>
      <c r="AL99" s="1604"/>
    </row>
    <row r="100" spans="1:38" ht="17.25" hidden="1" customHeight="1">
      <c r="A100" s="470"/>
      <c r="B100" s="470"/>
      <c r="C100" s="470"/>
      <c r="D100" s="470"/>
      <c r="E100" s="470"/>
      <c r="F100" s="1659">
        <f t="shared" ref="F100" si="74">B50</f>
        <v>0</v>
      </c>
      <c r="G100" s="1790">
        <f t="shared" si="61"/>
        <v>0</v>
      </c>
      <c r="H100" s="1661">
        <f t="shared" ref="H100:X100" si="75">H22*H$86*$C22</f>
        <v>0</v>
      </c>
      <c r="I100" s="1661">
        <f t="shared" si="75"/>
        <v>0</v>
      </c>
      <c r="J100" s="1661">
        <f t="shared" si="75"/>
        <v>0</v>
      </c>
      <c r="K100" s="1661">
        <f t="shared" si="75"/>
        <v>0</v>
      </c>
      <c r="L100" s="1661">
        <f t="shared" si="75"/>
        <v>0</v>
      </c>
      <c r="M100" s="1661">
        <f t="shared" si="75"/>
        <v>0</v>
      </c>
      <c r="N100" s="1661">
        <f t="shared" si="75"/>
        <v>0</v>
      </c>
      <c r="O100" s="1661">
        <f t="shared" si="75"/>
        <v>0</v>
      </c>
      <c r="P100" s="1661">
        <f t="shared" si="75"/>
        <v>0</v>
      </c>
      <c r="Q100" s="1661">
        <f t="shared" si="75"/>
        <v>0</v>
      </c>
      <c r="R100" s="1661">
        <f t="shared" si="75"/>
        <v>0</v>
      </c>
      <c r="S100" s="1661">
        <f t="shared" si="75"/>
        <v>0</v>
      </c>
      <c r="T100" s="1661">
        <f t="shared" si="75"/>
        <v>0</v>
      </c>
      <c r="U100" s="1661">
        <f t="shared" si="75"/>
        <v>0</v>
      </c>
      <c r="V100" s="1661">
        <f t="shared" si="75"/>
        <v>0</v>
      </c>
      <c r="W100" s="1661">
        <f t="shared" si="75"/>
        <v>0</v>
      </c>
      <c r="X100" s="1661">
        <f t="shared" si="75"/>
        <v>0</v>
      </c>
      <c r="Z100" s="1662" t="str">
        <f t="shared" si="59"/>
        <v>diverse Grünbrachen zB Biodiv.</v>
      </c>
      <c r="AA100" s="1804"/>
      <c r="AB100" s="1804"/>
      <c r="AC100" s="1804"/>
      <c r="AL100" s="1604"/>
    </row>
    <row r="101" spans="1:38" ht="17.25" hidden="1" customHeight="1">
      <c r="A101" s="470"/>
      <c r="B101" s="470"/>
      <c r="C101" s="470"/>
      <c r="D101" s="470"/>
      <c r="E101" s="470"/>
      <c r="F101" s="1659"/>
      <c r="G101" s="1791"/>
      <c r="H101" s="1664"/>
      <c r="I101" s="1664"/>
      <c r="J101" s="1664"/>
      <c r="K101" s="1664"/>
      <c r="L101" s="1664"/>
      <c r="M101" s="1664"/>
      <c r="N101" s="1664"/>
      <c r="O101" s="1664"/>
      <c r="P101" s="1664"/>
      <c r="Q101" s="1664"/>
      <c r="R101" s="1664"/>
      <c r="S101" s="1664"/>
      <c r="T101" s="1664"/>
      <c r="U101" s="1664"/>
      <c r="V101" s="1664"/>
      <c r="W101" s="1664"/>
      <c r="X101" s="1664"/>
      <c r="Z101" s="1675" t="str">
        <f t="shared" si="59"/>
        <v>Grünland</v>
      </c>
      <c r="AA101" s="1675"/>
      <c r="AB101" s="1675"/>
      <c r="AC101" s="1675"/>
      <c r="AL101" s="1604"/>
    </row>
    <row r="102" spans="1:38" ht="17.25" hidden="1" customHeight="1">
      <c r="A102" s="470"/>
      <c r="B102" s="470"/>
      <c r="C102" s="470"/>
      <c r="D102" s="470"/>
      <c r="E102" s="470"/>
      <c r="F102" s="1659">
        <f t="shared" ref="F102:F107" si="76">B52</f>
        <v>0</v>
      </c>
      <c r="G102" s="1790">
        <f>SUM(H102:X102)</f>
        <v>0</v>
      </c>
      <c r="H102" s="1661">
        <f t="shared" ref="H102:X102" si="77">H24*H$86*$C24</f>
        <v>0</v>
      </c>
      <c r="I102" s="1661">
        <f t="shared" si="77"/>
        <v>0</v>
      </c>
      <c r="J102" s="1661">
        <f t="shared" si="77"/>
        <v>0</v>
      </c>
      <c r="K102" s="1661">
        <f t="shared" si="77"/>
        <v>0</v>
      </c>
      <c r="L102" s="1661">
        <f t="shared" si="77"/>
        <v>0</v>
      </c>
      <c r="M102" s="1661">
        <f t="shared" si="77"/>
        <v>0</v>
      </c>
      <c r="N102" s="1661">
        <f t="shared" si="77"/>
        <v>0</v>
      </c>
      <c r="O102" s="1661">
        <f t="shared" si="77"/>
        <v>0</v>
      </c>
      <c r="P102" s="1661">
        <f t="shared" si="77"/>
        <v>0</v>
      </c>
      <c r="Q102" s="1661">
        <f t="shared" si="77"/>
        <v>0</v>
      </c>
      <c r="R102" s="1661">
        <f t="shared" si="77"/>
        <v>0</v>
      </c>
      <c r="S102" s="1661">
        <f t="shared" si="77"/>
        <v>0</v>
      </c>
      <c r="T102" s="1661">
        <f t="shared" si="77"/>
        <v>0</v>
      </c>
      <c r="U102" s="1661">
        <f t="shared" si="77"/>
        <v>0</v>
      </c>
      <c r="V102" s="1661">
        <f t="shared" si="77"/>
        <v>0</v>
      </c>
      <c r="W102" s="1661">
        <f t="shared" si="77"/>
        <v>0</v>
      </c>
      <c r="X102" s="1661">
        <f t="shared" si="77"/>
        <v>0</v>
      </c>
      <c r="Z102" s="1662">
        <f t="shared" si="59"/>
        <v>0</v>
      </c>
      <c r="AA102" s="1804"/>
      <c r="AB102" s="1804"/>
      <c r="AC102" s="1804"/>
      <c r="AL102" s="1604"/>
    </row>
    <row r="103" spans="1:38" ht="17.25" hidden="1" customHeight="1">
      <c r="A103" s="470"/>
      <c r="B103" s="470"/>
      <c r="C103" s="470"/>
      <c r="D103" s="470"/>
      <c r="E103" s="470"/>
      <c r="F103" s="1659">
        <f t="shared" si="76"/>
        <v>0</v>
      </c>
      <c r="G103" s="1790">
        <f t="shared" ref="G103:G107" si="78">SUM(H103:X103)</f>
        <v>0</v>
      </c>
      <c r="H103" s="1661">
        <f t="shared" ref="H103:X103" si="79">H25*H$86*$C25</f>
        <v>0</v>
      </c>
      <c r="I103" s="1661">
        <f t="shared" si="79"/>
        <v>0</v>
      </c>
      <c r="J103" s="1661">
        <f t="shared" si="79"/>
        <v>0</v>
      </c>
      <c r="K103" s="1661">
        <f t="shared" si="79"/>
        <v>0</v>
      </c>
      <c r="L103" s="1661">
        <f t="shared" si="79"/>
        <v>0</v>
      </c>
      <c r="M103" s="1661">
        <f t="shared" si="79"/>
        <v>0</v>
      </c>
      <c r="N103" s="1661">
        <f t="shared" si="79"/>
        <v>0</v>
      </c>
      <c r="O103" s="1661">
        <f t="shared" si="79"/>
        <v>0</v>
      </c>
      <c r="P103" s="1661">
        <f t="shared" si="79"/>
        <v>0</v>
      </c>
      <c r="Q103" s="1661">
        <f t="shared" si="79"/>
        <v>0</v>
      </c>
      <c r="R103" s="1661">
        <f t="shared" si="79"/>
        <v>0</v>
      </c>
      <c r="S103" s="1661">
        <f t="shared" si="79"/>
        <v>0</v>
      </c>
      <c r="T103" s="1661">
        <f t="shared" si="79"/>
        <v>0</v>
      </c>
      <c r="U103" s="1661">
        <f t="shared" si="79"/>
        <v>0</v>
      </c>
      <c r="V103" s="1661">
        <f t="shared" si="79"/>
        <v>0</v>
      </c>
      <c r="W103" s="1661">
        <f t="shared" si="79"/>
        <v>0</v>
      </c>
      <c r="X103" s="1661">
        <f t="shared" si="79"/>
        <v>0</v>
      </c>
      <c r="Z103" s="1662">
        <f t="shared" si="59"/>
        <v>0</v>
      </c>
      <c r="AA103" s="1804"/>
      <c r="AB103" s="1804"/>
      <c r="AC103" s="1804"/>
      <c r="AL103" s="1604"/>
    </row>
    <row r="104" spans="1:38" ht="17.25" hidden="1" customHeight="1">
      <c r="A104" s="470"/>
      <c r="B104" s="470"/>
      <c r="C104" s="470"/>
      <c r="D104" s="470"/>
      <c r="E104" s="470"/>
      <c r="F104" s="1659">
        <f t="shared" si="76"/>
        <v>0</v>
      </c>
      <c r="G104" s="1790">
        <f t="shared" si="78"/>
        <v>0</v>
      </c>
      <c r="H104" s="1661">
        <f t="shared" ref="H104:X104" si="80">H26*H$86*$C26</f>
        <v>0</v>
      </c>
      <c r="I104" s="1661">
        <f t="shared" si="80"/>
        <v>0</v>
      </c>
      <c r="J104" s="1661">
        <f t="shared" si="80"/>
        <v>0</v>
      </c>
      <c r="K104" s="1661">
        <f t="shared" si="80"/>
        <v>0</v>
      </c>
      <c r="L104" s="1661">
        <f t="shared" si="80"/>
        <v>0</v>
      </c>
      <c r="M104" s="1661">
        <f t="shared" si="80"/>
        <v>0</v>
      </c>
      <c r="N104" s="1661">
        <f t="shared" si="80"/>
        <v>0</v>
      </c>
      <c r="O104" s="1661">
        <f t="shared" si="80"/>
        <v>0</v>
      </c>
      <c r="P104" s="1661">
        <f t="shared" si="80"/>
        <v>0</v>
      </c>
      <c r="Q104" s="1661">
        <f t="shared" si="80"/>
        <v>0</v>
      </c>
      <c r="R104" s="1661">
        <f t="shared" si="80"/>
        <v>0</v>
      </c>
      <c r="S104" s="1661">
        <f t="shared" si="80"/>
        <v>0</v>
      </c>
      <c r="T104" s="1661">
        <f t="shared" si="80"/>
        <v>0</v>
      </c>
      <c r="U104" s="1661">
        <f t="shared" si="80"/>
        <v>0</v>
      </c>
      <c r="V104" s="1661">
        <f t="shared" si="80"/>
        <v>0</v>
      </c>
      <c r="W104" s="1661">
        <f t="shared" si="80"/>
        <v>0</v>
      </c>
      <c r="X104" s="1661">
        <f t="shared" si="80"/>
        <v>0</v>
      </c>
      <c r="Z104" s="1662">
        <f t="shared" si="59"/>
        <v>0</v>
      </c>
      <c r="AA104" s="1804"/>
      <c r="AB104" s="1804"/>
      <c r="AC104" s="1804"/>
      <c r="AL104" s="1604"/>
    </row>
    <row r="105" spans="1:38" ht="17.25" hidden="1" customHeight="1">
      <c r="A105" s="470"/>
      <c r="B105" s="470"/>
      <c r="C105" s="470"/>
      <c r="D105" s="470"/>
      <c r="E105" s="470"/>
      <c r="F105" s="1659">
        <f t="shared" si="76"/>
        <v>0</v>
      </c>
      <c r="G105" s="1790">
        <f t="shared" si="78"/>
        <v>0</v>
      </c>
      <c r="H105" s="1661">
        <f t="shared" ref="H105:X105" si="81">H27*H$86*$C27</f>
        <v>0</v>
      </c>
      <c r="I105" s="1661">
        <f t="shared" si="81"/>
        <v>0</v>
      </c>
      <c r="J105" s="1661">
        <f t="shared" si="81"/>
        <v>0</v>
      </c>
      <c r="K105" s="1661">
        <f t="shared" si="81"/>
        <v>0</v>
      </c>
      <c r="L105" s="1661">
        <f t="shared" si="81"/>
        <v>0</v>
      </c>
      <c r="M105" s="1661">
        <f t="shared" si="81"/>
        <v>0</v>
      </c>
      <c r="N105" s="1661">
        <f t="shared" si="81"/>
        <v>0</v>
      </c>
      <c r="O105" s="1661">
        <f t="shared" si="81"/>
        <v>0</v>
      </c>
      <c r="P105" s="1661">
        <f t="shared" si="81"/>
        <v>0</v>
      </c>
      <c r="Q105" s="1661">
        <f t="shared" si="81"/>
        <v>0</v>
      </c>
      <c r="R105" s="1661">
        <f t="shared" si="81"/>
        <v>0</v>
      </c>
      <c r="S105" s="1661">
        <f t="shared" si="81"/>
        <v>0</v>
      </c>
      <c r="T105" s="1661">
        <f t="shared" si="81"/>
        <v>0</v>
      </c>
      <c r="U105" s="1661">
        <f t="shared" si="81"/>
        <v>0</v>
      </c>
      <c r="V105" s="1661">
        <f t="shared" si="81"/>
        <v>0</v>
      </c>
      <c r="W105" s="1661">
        <f t="shared" si="81"/>
        <v>0</v>
      </c>
      <c r="X105" s="1661">
        <f t="shared" si="81"/>
        <v>0</v>
      </c>
      <c r="Z105" s="1662">
        <f t="shared" si="59"/>
        <v>0</v>
      </c>
      <c r="AA105" s="1804"/>
      <c r="AB105" s="1804"/>
      <c r="AC105" s="1804"/>
      <c r="AL105" s="1604"/>
    </row>
    <row r="106" spans="1:38" ht="17.25" hidden="1" customHeight="1">
      <c r="A106" s="470"/>
      <c r="B106" s="470"/>
      <c r="C106" s="470"/>
      <c r="D106" s="470"/>
      <c r="E106" s="470"/>
      <c r="F106" s="1659">
        <f t="shared" si="76"/>
        <v>0</v>
      </c>
      <c r="G106" s="1790">
        <f t="shared" si="78"/>
        <v>0</v>
      </c>
      <c r="H106" s="1661">
        <f t="shared" ref="H106:X106" si="82">H28*H$86*$C28</f>
        <v>0</v>
      </c>
      <c r="I106" s="1661">
        <f t="shared" si="82"/>
        <v>0</v>
      </c>
      <c r="J106" s="1661">
        <f t="shared" si="82"/>
        <v>0</v>
      </c>
      <c r="K106" s="1661">
        <f t="shared" si="82"/>
        <v>0</v>
      </c>
      <c r="L106" s="1661">
        <f t="shared" si="82"/>
        <v>0</v>
      </c>
      <c r="M106" s="1661">
        <f t="shared" si="82"/>
        <v>0</v>
      </c>
      <c r="N106" s="1661">
        <f t="shared" si="82"/>
        <v>0</v>
      </c>
      <c r="O106" s="1661">
        <f t="shared" si="82"/>
        <v>0</v>
      </c>
      <c r="P106" s="1661">
        <f t="shared" si="82"/>
        <v>0</v>
      </c>
      <c r="Q106" s="1661">
        <f t="shared" si="82"/>
        <v>0</v>
      </c>
      <c r="R106" s="1661">
        <f t="shared" si="82"/>
        <v>0</v>
      </c>
      <c r="S106" s="1661">
        <f t="shared" si="82"/>
        <v>0</v>
      </c>
      <c r="T106" s="1661">
        <f t="shared" si="82"/>
        <v>0</v>
      </c>
      <c r="U106" s="1661">
        <f t="shared" si="82"/>
        <v>0</v>
      </c>
      <c r="V106" s="1661">
        <f t="shared" si="82"/>
        <v>0</v>
      </c>
      <c r="W106" s="1661">
        <f t="shared" si="82"/>
        <v>0</v>
      </c>
      <c r="X106" s="1661">
        <f t="shared" si="82"/>
        <v>0</v>
      </c>
      <c r="Z106" s="1662">
        <f t="shared" si="59"/>
        <v>0</v>
      </c>
      <c r="AA106" s="1804"/>
      <c r="AB106" s="1804"/>
      <c r="AC106" s="1804"/>
      <c r="AL106" s="1604"/>
    </row>
    <row r="107" spans="1:38" ht="17.25" hidden="1" customHeight="1" thickBot="1">
      <c r="A107" s="470"/>
      <c r="B107" s="470"/>
      <c r="C107" s="470"/>
      <c r="D107" s="470"/>
      <c r="E107" s="470"/>
      <c r="F107" s="1659">
        <f t="shared" si="76"/>
        <v>0</v>
      </c>
      <c r="G107" s="1790">
        <f t="shared" si="78"/>
        <v>0</v>
      </c>
      <c r="H107" s="1661">
        <f t="shared" ref="H107:X107" si="83">H29*H$86*$C29</f>
        <v>0</v>
      </c>
      <c r="I107" s="1661">
        <f t="shared" si="83"/>
        <v>0</v>
      </c>
      <c r="J107" s="1661">
        <f t="shared" si="83"/>
        <v>0</v>
      </c>
      <c r="K107" s="1661">
        <f t="shared" si="83"/>
        <v>0</v>
      </c>
      <c r="L107" s="1661">
        <f t="shared" si="83"/>
        <v>0</v>
      </c>
      <c r="M107" s="1661">
        <f t="shared" si="83"/>
        <v>0</v>
      </c>
      <c r="N107" s="1661">
        <f t="shared" si="83"/>
        <v>0</v>
      </c>
      <c r="O107" s="1661">
        <f t="shared" si="83"/>
        <v>0</v>
      </c>
      <c r="P107" s="1661">
        <f t="shared" si="83"/>
        <v>0</v>
      </c>
      <c r="Q107" s="1661">
        <f t="shared" si="83"/>
        <v>0</v>
      </c>
      <c r="R107" s="1661">
        <f t="shared" si="83"/>
        <v>0</v>
      </c>
      <c r="S107" s="1661">
        <f t="shared" si="83"/>
        <v>0</v>
      </c>
      <c r="T107" s="1661">
        <f t="shared" si="83"/>
        <v>0</v>
      </c>
      <c r="U107" s="1661">
        <f t="shared" si="83"/>
        <v>0</v>
      </c>
      <c r="V107" s="1661">
        <f t="shared" si="83"/>
        <v>0</v>
      </c>
      <c r="W107" s="1661">
        <f t="shared" si="83"/>
        <v>0</v>
      </c>
      <c r="X107" s="1661">
        <f t="shared" si="83"/>
        <v>0</v>
      </c>
      <c r="Z107" s="1676">
        <f t="shared" si="59"/>
        <v>0</v>
      </c>
      <c r="AA107" s="1907" t="s">
        <v>1845</v>
      </c>
      <c r="AB107" s="1906"/>
      <c r="AC107" s="1804"/>
      <c r="AL107" s="1604"/>
    </row>
    <row r="108" spans="1:38" ht="20.25" hidden="1" customHeight="1" thickBot="1">
      <c r="A108" s="470"/>
      <c r="B108" s="470"/>
      <c r="C108" s="1677"/>
      <c r="D108" s="1677"/>
      <c r="E108" s="1677"/>
      <c r="F108" s="1677" t="s">
        <v>1750</v>
      </c>
      <c r="G108" s="1751">
        <f>SUM(G87:G107)</f>
        <v>0</v>
      </c>
      <c r="H108" s="1653">
        <f>SUM(H87:H107)</f>
        <v>0</v>
      </c>
      <c r="I108" s="1653">
        <f t="shared" ref="I108:X108" si="84">SUM(I87:I107)</f>
        <v>0</v>
      </c>
      <c r="J108" s="1653">
        <f t="shared" si="84"/>
        <v>0</v>
      </c>
      <c r="K108" s="1653">
        <f t="shared" si="84"/>
        <v>0</v>
      </c>
      <c r="L108" s="1653">
        <f t="shared" ref="L108" si="85">SUM(L87:L107)</f>
        <v>0</v>
      </c>
      <c r="M108" s="1905">
        <f t="shared" si="84"/>
        <v>0</v>
      </c>
      <c r="N108" s="1905">
        <f t="shared" si="84"/>
        <v>0</v>
      </c>
      <c r="O108" s="1905">
        <f t="shared" si="84"/>
        <v>0</v>
      </c>
      <c r="P108" s="1905">
        <f t="shared" si="84"/>
        <v>0</v>
      </c>
      <c r="Q108" s="1905">
        <f t="shared" si="84"/>
        <v>0</v>
      </c>
      <c r="R108" s="1905">
        <f t="shared" si="84"/>
        <v>0</v>
      </c>
      <c r="S108" s="1905">
        <f t="shared" si="84"/>
        <v>0</v>
      </c>
      <c r="T108" s="1905">
        <f t="shared" si="84"/>
        <v>0</v>
      </c>
      <c r="U108" s="1653">
        <f t="shared" si="84"/>
        <v>0</v>
      </c>
      <c r="V108" s="1653">
        <f t="shared" si="84"/>
        <v>0</v>
      </c>
      <c r="W108" s="1653">
        <f t="shared" si="84"/>
        <v>0</v>
      </c>
      <c r="X108" s="1678">
        <f t="shared" si="84"/>
        <v>0</v>
      </c>
      <c r="Z108" s="1679">
        <f>SUM(H108:X108)</f>
        <v>0</v>
      </c>
      <c r="AA108" s="3187">
        <f>SUM(M108:T108)</f>
        <v>0</v>
      </c>
      <c r="AB108" s="3188"/>
      <c r="AC108" s="1805"/>
      <c r="AL108" s="1604"/>
    </row>
    <row r="109" spans="1:38" ht="21" customHeight="1">
      <c r="A109" s="1623"/>
      <c r="B109" s="1623"/>
      <c r="C109" s="1623"/>
      <c r="D109" s="1623"/>
      <c r="E109" s="1623"/>
      <c r="F109" s="1623"/>
      <c r="G109" s="1623"/>
      <c r="H109" s="1623"/>
      <c r="I109" s="1623"/>
      <c r="J109" s="1623"/>
      <c r="K109" s="1623"/>
      <c r="L109" s="1623"/>
      <c r="M109" s="1623"/>
      <c r="N109" s="1623"/>
      <c r="O109" s="1623"/>
      <c r="P109" s="1623"/>
      <c r="Q109" s="1623"/>
      <c r="R109" s="1623"/>
      <c r="S109" s="1623"/>
      <c r="T109" s="1623"/>
      <c r="U109" s="1623"/>
      <c r="V109" s="1623"/>
      <c r="W109" s="1623"/>
      <c r="X109" s="1623"/>
      <c r="Y109" s="1623"/>
      <c r="Z109" s="1604"/>
      <c r="AA109" s="1604"/>
      <c r="AB109" s="1604"/>
      <c r="AC109" s="1604"/>
      <c r="AD109" s="1604"/>
      <c r="AE109" s="1604"/>
      <c r="AF109" s="1604"/>
      <c r="AG109" s="1604"/>
      <c r="AH109" s="1604"/>
      <c r="AI109" s="1604"/>
      <c r="AJ109" s="1604"/>
      <c r="AK109" s="1604"/>
      <c r="AL109" s="1604"/>
    </row>
    <row r="110" spans="1:38">
      <c r="A110" s="470"/>
      <c r="B110" s="470"/>
      <c r="C110" s="470"/>
      <c r="D110" s="470"/>
      <c r="E110" s="470"/>
      <c r="F110" s="470"/>
      <c r="G110" s="470"/>
      <c r="H110" s="470"/>
      <c r="I110" s="470"/>
      <c r="J110" s="470"/>
      <c r="K110" s="470"/>
      <c r="L110" s="470"/>
      <c r="M110" s="470"/>
      <c r="N110" s="470"/>
      <c r="O110" s="470"/>
      <c r="P110" s="470"/>
      <c r="Q110" s="470"/>
      <c r="R110" s="470"/>
      <c r="S110" s="470"/>
      <c r="T110" s="470"/>
      <c r="U110" s="470"/>
      <c r="V110" s="470"/>
      <c r="W110" s="470"/>
      <c r="X110" s="470"/>
      <c r="Y110" s="470"/>
    </row>
    <row r="111" spans="1:38">
      <c r="A111" s="470"/>
      <c r="B111" s="470"/>
      <c r="C111" s="470"/>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2"/>
      <c r="AA111" s="2"/>
      <c r="AB111" s="2"/>
      <c r="AC111" s="2"/>
    </row>
    <row r="112" spans="1:38">
      <c r="A112" s="470"/>
      <c r="B112" s="470"/>
      <c r="C112" s="470"/>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row>
  </sheetData>
  <sheetProtection password="CC3A" sheet="1" objects="1" scenarios="1" formatCells="0" formatColumns="0"/>
  <mergeCells count="28">
    <mergeCell ref="C4:E4"/>
    <mergeCell ref="B6:C6"/>
    <mergeCell ref="P2:P6"/>
    <mergeCell ref="U2:U6"/>
    <mergeCell ref="V2:V6"/>
    <mergeCell ref="K2:K6"/>
    <mergeCell ref="M2:M6"/>
    <mergeCell ref="B3:F3"/>
    <mergeCell ref="Q2:Q6"/>
    <mergeCell ref="N2:N6"/>
    <mergeCell ref="G2:G6"/>
    <mergeCell ref="H2:H6"/>
    <mergeCell ref="AA108:AB108"/>
    <mergeCell ref="I2:I6"/>
    <mergeCell ref="J2:J6"/>
    <mergeCell ref="S2:S6"/>
    <mergeCell ref="AH28:AI28"/>
    <mergeCell ref="AH29:AI29"/>
    <mergeCell ref="AC2:AK7"/>
    <mergeCell ref="T2:T6"/>
    <mergeCell ref="L2:L6"/>
    <mergeCell ref="X2:X6"/>
    <mergeCell ref="R2:R6"/>
    <mergeCell ref="O2:O6"/>
    <mergeCell ref="AB30:AK30"/>
    <mergeCell ref="W2:W6"/>
    <mergeCell ref="AA2:AB2"/>
    <mergeCell ref="Z3:AB7"/>
  </mergeCells>
  <conditionalFormatting sqref="G9">
    <cfRule type="cellIs" dxfId="11" priority="30" operator="greaterThan">
      <formula>0</formula>
    </cfRule>
  </conditionalFormatting>
  <conditionalFormatting sqref="G10:G29">
    <cfRule type="cellIs" dxfId="10" priority="29" operator="greaterThan">
      <formula>0</formula>
    </cfRule>
  </conditionalFormatting>
  <conditionalFormatting sqref="AJ9:AJ13">
    <cfRule type="cellIs" dxfId="9" priority="14" operator="equal">
      <formula>"Mehr verplant als vorhanden!"</formula>
    </cfRule>
  </conditionalFormatting>
  <conditionalFormatting sqref="AJ15:AJ22">
    <cfRule type="cellIs" dxfId="8" priority="5" operator="equal">
      <formula>"Mehr verplant als vorhanden!"</formula>
    </cfRule>
  </conditionalFormatting>
  <conditionalFormatting sqref="AJ24:AJ27">
    <cfRule type="cellIs" dxfId="7" priority="4" operator="equal">
      <formula>"Mehr verplant als vorhanden!"</formula>
    </cfRule>
  </conditionalFormatting>
  <conditionalFormatting sqref="AB30">
    <cfRule type="cellIs" dxfId="6" priority="1" operator="equal">
      <formula>"* Der P-Mindeststandard ist ok, weil kein mineralischer Phosphor im Einsatz!"</formula>
    </cfRule>
  </conditionalFormatting>
  <conditionalFormatting sqref="AC15:AC22 AC9:AC13 AC24:AC27">
    <cfRule type="expression" dxfId="5" priority="36">
      <formula>$AC9&lt;0</formula>
    </cfRule>
  </conditionalFormatting>
  <conditionalFormatting sqref="AK28:AK29">
    <cfRule type="expression" dxfId="4" priority="38">
      <formula>$AK28&gt;$AH28</formula>
    </cfRule>
  </conditionalFormatting>
  <dataValidations count="3">
    <dataValidation type="list" allowBlank="1" showInputMessage="1" showErrorMessage="1" sqref="Z15:Z22">
      <formula1>Liste_MD</formula1>
    </dataValidation>
    <dataValidation type="list" allowBlank="1" showInputMessage="1" showErrorMessage="1" sqref="Z9:Z13">
      <formula1>Liste_WD</formula1>
    </dataValidation>
    <dataValidation type="list" allowBlank="1" showInputMessage="1" showErrorMessage="1" sqref="Z24:Z27">
      <formula1>Liste_OD</formula1>
    </dataValidation>
  </dataValidations>
  <hyperlinks>
    <hyperlink ref="Z2" location="Hofdung!A1" display="zu &quot;Hofdung&quot;"/>
    <hyperlink ref="AA2" location="Mineral!A1" display="►"/>
  </hyperlinks>
  <pageMargins left="0.55000000000000004" right="0.52" top="0.33" bottom="0.31" header="0.23" footer="0.24"/>
  <pageSetup paperSize="9" scale="77" fitToWidth="2" orientation="landscape" blackAndWhite="1"/>
  <rowBreaks count="1" manualBreakCount="1">
    <brk id="29" max="16383" man="1"/>
  </rowBreaks>
  <colBreaks count="1" manualBreakCount="1">
    <brk id="24"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A1:I30"/>
  <sheetViews>
    <sheetView showZeros="0" zoomScale="90" zoomScaleNormal="90" zoomScalePageLayoutView="90" workbookViewId="0">
      <selection activeCell="I15" sqref="I15"/>
    </sheetView>
  </sheetViews>
  <sheetFormatPr baseColWidth="10" defaultRowHeight="12.75"/>
  <cols>
    <col min="1" max="1" width="37.85546875" customWidth="1"/>
    <col min="2" max="5" width="8.140625" customWidth="1"/>
    <col min="6" max="6" width="7.28515625" customWidth="1"/>
    <col min="7" max="8" width="7.140625" customWidth="1"/>
    <col min="9" max="9" width="9.7109375" customWidth="1"/>
    <col min="10" max="10" width="4.28515625" customWidth="1"/>
  </cols>
  <sheetData>
    <row r="1" spans="1:9" ht="31.5" customHeight="1">
      <c r="A1" s="971" t="s">
        <v>857</v>
      </c>
      <c r="B1" s="972"/>
      <c r="C1" s="972"/>
      <c r="D1" s="972"/>
      <c r="E1" s="972"/>
      <c r="F1" s="972"/>
      <c r="G1" s="972"/>
      <c r="H1" s="972"/>
      <c r="I1" s="972"/>
    </row>
    <row r="2" spans="1:9" ht="30" customHeight="1">
      <c r="A2" s="973" t="s">
        <v>858</v>
      </c>
      <c r="B2" s="974" t="s">
        <v>859</v>
      </c>
      <c r="C2" s="974" t="s">
        <v>163</v>
      </c>
      <c r="D2" s="974" t="s">
        <v>164</v>
      </c>
      <c r="E2" s="974" t="s">
        <v>165</v>
      </c>
      <c r="F2" s="974" t="s">
        <v>23</v>
      </c>
      <c r="G2" s="974" t="s">
        <v>656</v>
      </c>
      <c r="H2" s="974" t="s">
        <v>860</v>
      </c>
      <c r="I2" s="975" t="s">
        <v>717</v>
      </c>
    </row>
    <row r="3" spans="1:9" ht="27.75" customHeight="1">
      <c r="A3" s="976" t="s">
        <v>861</v>
      </c>
      <c r="B3" s="977">
        <f>Tabelle1!AQ48</f>
        <v>0</v>
      </c>
      <c r="C3" s="977">
        <f>Tabelle1!AR48</f>
        <v>0</v>
      </c>
      <c r="D3" s="977">
        <f>Tabelle1!AS48</f>
        <v>0</v>
      </c>
      <c r="E3" s="977">
        <f>Tabelle1!AT48</f>
        <v>0</v>
      </c>
      <c r="F3" s="977">
        <f>Tabelle1!AU48</f>
        <v>0</v>
      </c>
      <c r="G3" s="978"/>
      <c r="H3" s="978"/>
      <c r="I3" s="979">
        <f>SUM(B3:H3)</f>
        <v>0</v>
      </c>
    </row>
    <row r="4" spans="1:9" ht="19.5" customHeight="1">
      <c r="A4" s="980" t="s">
        <v>862</v>
      </c>
      <c r="B4" s="977">
        <f>Tabelle1!AQ49</f>
        <v>0</v>
      </c>
      <c r="C4" s="977">
        <f>Tabelle1!AR49</f>
        <v>0</v>
      </c>
      <c r="D4" s="977">
        <f>Tabelle1!AS49</f>
        <v>0</v>
      </c>
      <c r="E4" s="977">
        <f>Tabelle1!AT49</f>
        <v>0</v>
      </c>
      <c r="F4" s="977">
        <f>Tabelle1!AU49</f>
        <v>0</v>
      </c>
      <c r="G4" s="978"/>
      <c r="H4" s="978"/>
      <c r="I4" s="979">
        <f>SUM(B4:H4)</f>
        <v>0</v>
      </c>
    </row>
    <row r="5" spans="1:9" ht="19.5" customHeight="1">
      <c r="A5" s="981" t="s">
        <v>863</v>
      </c>
      <c r="B5" s="982"/>
      <c r="C5" s="982"/>
      <c r="D5" s="982"/>
      <c r="E5" s="982"/>
      <c r="F5" s="982"/>
      <c r="G5" s="982"/>
      <c r="H5" s="983"/>
      <c r="I5" s="979">
        <f>-Tabelle1!AX55</f>
        <v>0</v>
      </c>
    </row>
    <row r="6" spans="1:9" ht="19.5" customHeight="1">
      <c r="A6" s="981" t="s">
        <v>864</v>
      </c>
      <c r="B6" s="984">
        <f>Tabelle1!AQ50</f>
        <v>0</v>
      </c>
      <c r="C6" s="984">
        <f>Tabelle1!AR50</f>
        <v>0</v>
      </c>
      <c r="D6" s="984">
        <f>Tabelle1!AS50</f>
        <v>0</v>
      </c>
      <c r="E6" s="984">
        <f>Tabelle1!AT50</f>
        <v>0</v>
      </c>
      <c r="F6" s="984">
        <f>Tabelle1!AU50</f>
        <v>0</v>
      </c>
      <c r="G6" s="978"/>
      <c r="H6" s="978"/>
      <c r="I6" s="979">
        <f>SUM(B6:H6)</f>
        <v>0</v>
      </c>
    </row>
    <row r="7" spans="1:9" ht="19.5" customHeight="1">
      <c r="A7" s="980" t="s">
        <v>212</v>
      </c>
      <c r="B7" s="985">
        <f>Tabelle1!AQ51</f>
        <v>0</v>
      </c>
      <c r="C7" s="985">
        <f>Tabelle1!AR51</f>
        <v>0</v>
      </c>
      <c r="D7" s="985">
        <f>Tabelle1!AS51</f>
        <v>0</v>
      </c>
      <c r="E7" s="985">
        <f>Tabelle1!AT51</f>
        <v>0</v>
      </c>
      <c r="F7" s="978"/>
      <c r="G7" s="978"/>
      <c r="H7" s="978"/>
      <c r="I7" s="979">
        <f>SUM(B7:H7)</f>
        <v>0</v>
      </c>
    </row>
    <row r="8" spans="1:9" ht="19.5" customHeight="1">
      <c r="A8" s="980" t="s">
        <v>865</v>
      </c>
      <c r="B8" s="978"/>
      <c r="C8" s="978"/>
      <c r="D8" s="978"/>
      <c r="E8" s="978"/>
      <c r="F8" s="985">
        <f>Tabelle1!AU52</f>
        <v>0</v>
      </c>
      <c r="G8" s="978"/>
      <c r="H8" s="978"/>
      <c r="I8" s="979">
        <f>SUM(B8:H8)</f>
        <v>0</v>
      </c>
    </row>
    <row r="9" spans="1:9" ht="30" customHeight="1">
      <c r="A9" s="980" t="s">
        <v>866</v>
      </c>
      <c r="B9" s="985">
        <f>Tabelle1!AQ53</f>
        <v>0</v>
      </c>
      <c r="C9" s="985">
        <f>Tabelle1!AR53</f>
        <v>0</v>
      </c>
      <c r="D9" s="985">
        <f>Tabelle1!AS53</f>
        <v>0</v>
      </c>
      <c r="E9" s="985">
        <f>Tabelle1!AT53</f>
        <v>0</v>
      </c>
      <c r="F9" s="985">
        <f>Tabelle1!AU53</f>
        <v>0</v>
      </c>
      <c r="G9" s="985">
        <f>Tabelle1!AV53</f>
        <v>0</v>
      </c>
      <c r="H9" s="985">
        <f>Tabelle1!AW53</f>
        <v>0</v>
      </c>
      <c r="I9" s="979">
        <f>SUM(B9:H9)</f>
        <v>0</v>
      </c>
    </row>
    <row r="10" spans="1:9" ht="19.5" customHeight="1">
      <c r="A10" s="973" t="s">
        <v>867</v>
      </c>
      <c r="B10" s="986"/>
      <c r="C10" s="986"/>
      <c r="D10" s="986"/>
      <c r="E10" s="986"/>
      <c r="F10" s="986"/>
      <c r="G10" s="986"/>
      <c r="H10" s="987"/>
      <c r="I10" s="988">
        <f>SUM(I3:I9)</f>
        <v>0</v>
      </c>
    </row>
    <row r="11" spans="1:9" ht="10.5" customHeight="1">
      <c r="A11" s="989"/>
      <c r="B11" s="990"/>
      <c r="C11" s="990"/>
      <c r="D11" s="990"/>
      <c r="E11" s="990"/>
      <c r="F11" s="990"/>
      <c r="G11" s="990"/>
      <c r="H11" s="990"/>
      <c r="I11" s="991"/>
    </row>
    <row r="12" spans="1:9" ht="19.5" customHeight="1">
      <c r="A12" s="992" t="s">
        <v>868</v>
      </c>
      <c r="B12" s="990"/>
      <c r="C12" s="990"/>
      <c r="D12" s="990"/>
      <c r="E12" s="990"/>
      <c r="F12" s="990"/>
      <c r="G12" s="990"/>
      <c r="H12" s="990"/>
      <c r="I12" s="991"/>
    </row>
    <row r="13" spans="1:9" ht="30" customHeight="1">
      <c r="A13" s="973" t="s">
        <v>869</v>
      </c>
      <c r="B13" s="974" t="s">
        <v>859</v>
      </c>
      <c r="C13" s="974" t="s">
        <v>163</v>
      </c>
      <c r="D13" s="974" t="s">
        <v>164</v>
      </c>
      <c r="E13" s="974" t="s">
        <v>165</v>
      </c>
      <c r="F13" s="974" t="s">
        <v>23</v>
      </c>
      <c r="G13" s="974" t="s">
        <v>656</v>
      </c>
      <c r="H13" s="974" t="s">
        <v>167</v>
      </c>
      <c r="I13" s="993" t="s">
        <v>717</v>
      </c>
    </row>
    <row r="14" spans="1:9" ht="30" customHeight="1">
      <c r="A14" s="980" t="s">
        <v>870</v>
      </c>
      <c r="B14" s="994">
        <f>Tabelle1!AQ61</f>
        <v>0</v>
      </c>
      <c r="C14" s="994">
        <f>Tabelle1!AR61</f>
        <v>0</v>
      </c>
      <c r="D14" s="994">
        <f>Tabelle1!AS61</f>
        <v>0</v>
      </c>
      <c r="E14" s="994">
        <f>Tabelle1!AT61</f>
        <v>0</v>
      </c>
      <c r="F14" s="994">
        <f>Tabelle1!AU61</f>
        <v>0</v>
      </c>
      <c r="G14" s="994">
        <f>Tabelle1!AV61</f>
        <v>0</v>
      </c>
      <c r="H14" s="994">
        <f>Tabelle1!AW61</f>
        <v>0</v>
      </c>
      <c r="I14" s="995">
        <f>SUM(B14:H14)</f>
        <v>0</v>
      </c>
    </row>
    <row r="15" spans="1:9" ht="36.75" customHeight="1">
      <c r="A15" s="980" t="s">
        <v>871</v>
      </c>
      <c r="B15" s="994">
        <f>Tabelle1!AQ62</f>
        <v>0</v>
      </c>
      <c r="C15" s="994">
        <f>Tabelle1!AR62</f>
        <v>0</v>
      </c>
      <c r="D15" s="994">
        <f>Tabelle1!AS62</f>
        <v>0</v>
      </c>
      <c r="E15" s="994">
        <f>Tabelle1!AT62</f>
        <v>0</v>
      </c>
      <c r="F15" s="994">
        <f>Tabelle1!AU62</f>
        <v>0</v>
      </c>
      <c r="G15" s="994">
        <f>Tabelle1!AV62</f>
        <v>0</v>
      </c>
      <c r="H15" s="994">
        <f>Tabelle1!AW62</f>
        <v>0</v>
      </c>
      <c r="I15" s="995">
        <f>SUM(B15:H15)</f>
        <v>0</v>
      </c>
    </row>
    <row r="16" spans="1:9" ht="20.25" customHeight="1">
      <c r="A16" s="980" t="s">
        <v>238</v>
      </c>
      <c r="B16" s="994">
        <f>Tabelle1!AQ63</f>
        <v>0</v>
      </c>
      <c r="C16" s="994">
        <f>Tabelle1!AR63</f>
        <v>0</v>
      </c>
      <c r="D16" s="994">
        <f>Tabelle1!AS63</f>
        <v>0</v>
      </c>
      <c r="E16" s="994">
        <f>Tabelle1!AT63</f>
        <v>0</v>
      </c>
      <c r="F16" s="994">
        <f>Tabelle1!AU63</f>
        <v>0</v>
      </c>
      <c r="G16" s="994">
        <f>Tabelle1!AV63</f>
        <v>0</v>
      </c>
      <c r="H16" s="994">
        <f>Tabelle1!AW63</f>
        <v>0</v>
      </c>
      <c r="I16" s="995">
        <f>SUM(B16:H16)</f>
        <v>0</v>
      </c>
    </row>
    <row r="17" spans="1:9" ht="36" customHeight="1">
      <c r="A17" s="980" t="s">
        <v>872</v>
      </c>
      <c r="B17" s="996">
        <v>0.87</v>
      </c>
      <c r="C17" s="996">
        <v>0.87</v>
      </c>
      <c r="D17" s="996">
        <v>0.87</v>
      </c>
      <c r="E17" s="997">
        <v>0.87</v>
      </c>
      <c r="F17" s="996">
        <v>0.91</v>
      </c>
      <c r="G17" s="996">
        <v>0.91</v>
      </c>
      <c r="H17" s="998">
        <v>0.91</v>
      </c>
      <c r="I17" s="999"/>
    </row>
    <row r="18" spans="1:9" ht="21.75" customHeight="1">
      <c r="A18" s="1000" t="s">
        <v>873</v>
      </c>
      <c r="B18" s="1001">
        <f>Tabelle1!AQ66</f>
        <v>0</v>
      </c>
      <c r="C18" s="1001">
        <f>Tabelle1!AR66</f>
        <v>0</v>
      </c>
      <c r="D18" s="1001">
        <f>Tabelle1!AS66</f>
        <v>0</v>
      </c>
      <c r="E18" s="1001">
        <f>Tabelle1!AT66</f>
        <v>0</v>
      </c>
      <c r="F18" s="1001">
        <f>Tabelle1!AU66</f>
        <v>0</v>
      </c>
      <c r="G18" s="1001">
        <f>Tabelle1!AV66</f>
        <v>0</v>
      </c>
      <c r="H18" s="1001">
        <f>Tabelle1!AW66</f>
        <v>0</v>
      </c>
      <c r="I18" s="988">
        <f>SUM(B18:H18)</f>
        <v>0</v>
      </c>
    </row>
    <row r="19" spans="1:9" ht="19.5" customHeight="1">
      <c r="A19" s="1002" t="s">
        <v>874</v>
      </c>
      <c r="B19" s="1003"/>
      <c r="C19" s="1003"/>
      <c r="D19" s="1003"/>
      <c r="E19" s="1003"/>
      <c r="F19" s="1003"/>
      <c r="G19" s="1003"/>
      <c r="H19" s="1004"/>
      <c r="I19" s="995">
        <f>Tabelle1!AX68</f>
        <v>0</v>
      </c>
    </row>
    <row r="20" spans="1:9" ht="19.5" customHeight="1">
      <c r="A20" s="1002" t="s">
        <v>248</v>
      </c>
      <c r="B20" s="1003"/>
      <c r="C20" s="1003"/>
      <c r="D20" s="1003"/>
      <c r="E20" s="1003"/>
      <c r="F20" s="1003"/>
      <c r="G20" s="1003"/>
      <c r="H20" s="1004"/>
      <c r="I20" s="995">
        <f>Tabelle1!AX67</f>
        <v>0</v>
      </c>
    </row>
    <row r="21" spans="1:9" ht="19.5" customHeight="1">
      <c r="A21" s="973" t="s">
        <v>875</v>
      </c>
      <c r="B21" s="1003"/>
      <c r="C21" s="1003"/>
      <c r="D21" s="1003"/>
      <c r="E21" s="1003"/>
      <c r="F21" s="1003"/>
      <c r="G21" s="1003"/>
      <c r="H21" s="1004"/>
      <c r="I21" s="988">
        <f>Tabelle1!AX69</f>
        <v>0</v>
      </c>
    </row>
    <row r="22" spans="1:9" ht="12" customHeight="1">
      <c r="A22" s="1005"/>
      <c r="B22" s="990"/>
      <c r="C22" s="990"/>
      <c r="D22" s="990"/>
      <c r="E22" s="990"/>
      <c r="F22" s="990"/>
      <c r="G22" s="990"/>
      <c r="H22" s="990"/>
      <c r="I22" s="1006"/>
    </row>
    <row r="23" spans="1:9" ht="20.25" customHeight="1">
      <c r="A23" s="1922" t="s">
        <v>876</v>
      </c>
      <c r="B23" s="990"/>
      <c r="C23" s="990"/>
      <c r="D23" s="990"/>
      <c r="E23" s="1007"/>
      <c r="F23" s="990"/>
      <c r="G23" s="990"/>
      <c r="H23" s="990"/>
      <c r="I23" s="1006"/>
    </row>
    <row r="24" spans="1:9" ht="26.25" customHeight="1">
      <c r="A24" s="973" t="s">
        <v>877</v>
      </c>
      <c r="B24" s="974" t="s">
        <v>859</v>
      </c>
      <c r="C24" s="974" t="s">
        <v>878</v>
      </c>
      <c r="D24" s="974" t="s">
        <v>164</v>
      </c>
      <c r="E24" s="974" t="s">
        <v>165</v>
      </c>
      <c r="F24" s="974" t="s">
        <v>23</v>
      </c>
      <c r="G24" s="974" t="s">
        <v>656</v>
      </c>
      <c r="H24" s="974" t="s">
        <v>860</v>
      </c>
      <c r="I24" s="993" t="s">
        <v>717</v>
      </c>
    </row>
    <row r="25" spans="1:9" ht="21" customHeight="1">
      <c r="A25" s="976" t="s">
        <v>879</v>
      </c>
      <c r="B25" s="994">
        <f>Tabelle1!AQ73</f>
        <v>0</v>
      </c>
      <c r="C25" s="994">
        <f>Tabelle1!AR73</f>
        <v>0</v>
      </c>
      <c r="D25" s="994">
        <f>Tabelle1!AS73</f>
        <v>0</v>
      </c>
      <c r="E25" s="994">
        <f>Tabelle1!AT73</f>
        <v>0</v>
      </c>
      <c r="F25" s="994">
        <f>Tabelle1!AU73</f>
        <v>0</v>
      </c>
      <c r="G25" s="994">
        <f>Tabelle1!AV73</f>
        <v>0</v>
      </c>
      <c r="H25" s="994">
        <f>Tabelle1!AW73</f>
        <v>0</v>
      </c>
      <c r="I25" s="995">
        <f>SUM(B25:H25)</f>
        <v>0</v>
      </c>
    </row>
    <row r="26" spans="1:9" ht="30" customHeight="1">
      <c r="A26" s="981" t="s">
        <v>880</v>
      </c>
      <c r="B26" s="997">
        <v>0.7</v>
      </c>
      <c r="C26" s="997">
        <v>0.8</v>
      </c>
      <c r="D26" s="997">
        <v>0.85</v>
      </c>
      <c r="E26" s="997">
        <v>1</v>
      </c>
      <c r="F26" s="997">
        <v>0.5</v>
      </c>
      <c r="G26" s="997">
        <v>0.30000000000000004</v>
      </c>
      <c r="H26" s="997">
        <v>0.1</v>
      </c>
      <c r="I26" s="995"/>
    </row>
    <row r="27" spans="1:9" ht="30" customHeight="1">
      <c r="A27" s="981" t="s">
        <v>881</v>
      </c>
      <c r="B27" s="994">
        <f>Tabelle1!AQ75</f>
        <v>0</v>
      </c>
      <c r="C27" s="994">
        <f>Tabelle1!AR75</f>
        <v>0</v>
      </c>
      <c r="D27" s="994">
        <f>Tabelle1!AS75</f>
        <v>0</v>
      </c>
      <c r="E27" s="994">
        <f>Tabelle1!AT75</f>
        <v>0</v>
      </c>
      <c r="F27" s="994">
        <f>Tabelle1!AU75</f>
        <v>0</v>
      </c>
      <c r="G27" s="994">
        <f>Tabelle1!AV75</f>
        <v>0</v>
      </c>
      <c r="H27" s="994">
        <f>Tabelle1!AW75</f>
        <v>0</v>
      </c>
      <c r="I27" s="995">
        <f>SUM(B27:H27)</f>
        <v>0</v>
      </c>
    </row>
    <row r="28" spans="1:9" ht="21" customHeight="1">
      <c r="A28" s="1002" t="s">
        <v>264</v>
      </c>
      <c r="B28" s="1003"/>
      <c r="C28" s="1003"/>
      <c r="D28" s="1003"/>
      <c r="E28" s="1003"/>
      <c r="F28" s="1003"/>
      <c r="G28" s="1003"/>
      <c r="H28" s="1004"/>
      <c r="I28" s="995">
        <f>Tabelle1!AX76</f>
        <v>0</v>
      </c>
    </row>
    <row r="29" spans="1:9" ht="21" customHeight="1">
      <c r="A29" s="1008" t="s">
        <v>882</v>
      </c>
      <c r="B29" s="1009"/>
      <c r="C29" s="1009"/>
      <c r="D29" s="1009"/>
      <c r="E29" s="1009"/>
      <c r="F29" s="1009"/>
      <c r="G29" s="1003"/>
      <c r="H29" s="1004"/>
      <c r="I29" s="995">
        <f>Tabelle1!AX77</f>
        <v>0</v>
      </c>
    </row>
    <row r="30" spans="1:9" ht="25.5" customHeight="1">
      <c r="A30" s="1921" t="s">
        <v>883</v>
      </c>
      <c r="B30" s="1003"/>
      <c r="C30" s="1003"/>
      <c r="D30" s="1003"/>
      <c r="E30" s="1010"/>
      <c r="F30" s="1003"/>
      <c r="G30" s="1003"/>
      <c r="H30" s="1004"/>
      <c r="I30" s="988">
        <f>Tabelle1!AX78</f>
        <v>0</v>
      </c>
    </row>
  </sheetData>
  <sheetProtection password="CC3A" sheet="1" objects="1" scenarios="1" formatCells="0" formatColumns="0" formatRows="0"/>
  <pageMargins left="0.59055118110236227" right="0.39370078740157483" top="0.78740157480314965" bottom="0.78740157480314965" header="0.51181102362204722" footer="0.51181102362204722"/>
  <pageSetup paperSize="9" scale="93" firstPageNumber="0"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BQ142"/>
  <sheetViews>
    <sheetView showZeros="0" zoomScale="80" zoomScaleNormal="80" zoomScalePageLayoutView="75" workbookViewId="0"/>
  </sheetViews>
  <sheetFormatPr baseColWidth="10" defaultRowHeight="12.75"/>
  <cols>
    <col min="1" max="1" width="5" customWidth="1"/>
    <col min="2" max="2" width="5.42578125" customWidth="1"/>
    <col min="3" max="3" width="6.7109375" customWidth="1"/>
    <col min="4" max="4" width="12.42578125" customWidth="1"/>
    <col min="5" max="5" width="6.28515625" customWidth="1"/>
    <col min="6" max="6" width="9" customWidth="1"/>
    <col min="7" max="7" width="5.28515625" customWidth="1"/>
    <col min="8" max="8" width="7.42578125" customWidth="1"/>
    <col min="9" max="9" width="12.42578125" customWidth="1"/>
    <col min="10" max="10" width="7.42578125" customWidth="1"/>
    <col min="11" max="11" width="4.7109375" customWidth="1"/>
    <col min="12" max="12" width="6.85546875" customWidth="1"/>
    <col min="13" max="13" width="13" customWidth="1"/>
    <col min="14" max="14" width="4.7109375" customWidth="1"/>
    <col min="15" max="15" width="6.85546875" customWidth="1"/>
    <col min="16" max="16" width="4.42578125" customWidth="1"/>
    <col min="17" max="17" width="6.85546875" customWidth="1"/>
    <col min="18" max="18" width="13.85546875" customWidth="1"/>
    <col min="19" max="19" width="4.85546875" customWidth="1"/>
    <col min="20" max="20" width="6.85546875" customWidth="1"/>
    <col min="21" max="21" width="4.42578125" customWidth="1"/>
    <col min="22" max="22" width="6" customWidth="1"/>
    <col min="23" max="23" width="15.28515625" customWidth="1"/>
    <col min="24" max="24" width="4.85546875" customWidth="1"/>
    <col min="25" max="25" width="6" customWidth="1"/>
    <col min="26" max="26" width="5.140625" customWidth="1"/>
    <col min="27" max="27" width="9" customWidth="1"/>
    <col min="28" max="28" width="29.7109375" customWidth="1"/>
    <col min="29" max="29" width="11.42578125" hidden="1" customWidth="1"/>
    <col min="30" max="30" width="28" hidden="1" customWidth="1"/>
    <col min="31" max="31" width="10.42578125" hidden="1" customWidth="1"/>
    <col min="32" max="32" width="10" hidden="1" customWidth="1"/>
    <col min="33" max="33" width="10.140625" hidden="1" customWidth="1"/>
    <col min="34" max="35" width="8" hidden="1" customWidth="1"/>
    <col min="36" max="36" width="10.42578125" hidden="1" customWidth="1"/>
    <col min="37" max="38" width="7.42578125" hidden="1" customWidth="1"/>
    <col min="39" max="39" width="3.7109375" hidden="1" customWidth="1"/>
    <col min="40" max="40" width="5.42578125" hidden="1" customWidth="1"/>
    <col min="41" max="41" width="6.42578125" hidden="1" customWidth="1"/>
    <col min="42" max="44" width="5.42578125" hidden="1" customWidth="1"/>
    <col min="45" max="45" width="1.42578125" hidden="1" customWidth="1"/>
    <col min="46" max="51" width="5.85546875" hidden="1" customWidth="1"/>
    <col min="52" max="52" width="2.42578125" hidden="1" customWidth="1"/>
    <col min="53" max="57" width="5.85546875" hidden="1" customWidth="1"/>
    <col min="58" max="58" width="2.85546875" hidden="1" customWidth="1"/>
    <col min="59" max="62" width="9" hidden="1" customWidth="1"/>
    <col min="63" max="63" width="3" hidden="1" customWidth="1"/>
    <col min="64" max="66" width="6.42578125" hidden="1" customWidth="1"/>
    <col min="67" max="67" width="8.42578125" hidden="1" customWidth="1"/>
    <col min="68" max="68" width="4.7109375" customWidth="1"/>
    <col min="69" max="69" width="105.42578125" customWidth="1"/>
  </cols>
  <sheetData>
    <row r="1" spans="1:69" ht="32.25" customHeight="1">
      <c r="A1" s="1516" t="s">
        <v>1423</v>
      </c>
      <c r="B1" s="1517"/>
      <c r="C1" s="1517"/>
      <c r="D1" s="1517"/>
      <c r="E1" s="1517"/>
      <c r="F1" s="1517"/>
      <c r="G1" s="1517"/>
      <c r="H1" s="1517"/>
      <c r="I1" s="1517"/>
      <c r="J1" s="1517"/>
      <c r="K1" s="1517"/>
      <c r="L1" s="1517"/>
      <c r="M1" s="1517"/>
      <c r="N1" s="1517"/>
      <c r="O1" s="1517"/>
      <c r="P1" s="1518"/>
      <c r="Q1" s="1518"/>
      <c r="R1" s="1518"/>
      <c r="S1" s="1518"/>
      <c r="T1" s="1518"/>
      <c r="U1" s="1518"/>
      <c r="V1" s="1518"/>
      <c r="W1" s="1591" t="s">
        <v>413</v>
      </c>
      <c r="X1" s="3230" t="s">
        <v>381</v>
      </c>
      <c r="Y1" s="3231"/>
      <c r="Z1" s="1519"/>
      <c r="AA1" s="1861"/>
      <c r="AB1" s="1520"/>
      <c r="AC1" s="1521" t="s">
        <v>1424</v>
      </c>
      <c r="AD1" t="s">
        <v>1425</v>
      </c>
      <c r="AE1" s="1522"/>
      <c r="AG1" s="1523"/>
      <c r="AH1" s="1523"/>
      <c r="AI1" s="1523" t="s">
        <v>1426</v>
      </c>
      <c r="AJ1" s="1524" t="e">
        <f>AJ4/AJ2</f>
        <v>#DIV/0!</v>
      </c>
      <c r="BP1" s="1514"/>
      <c r="BQ1" s="1186" t="s">
        <v>1427</v>
      </c>
    </row>
    <row r="2" spans="1:69" ht="23.25" customHeight="1">
      <c r="A2" s="3268" t="s">
        <v>1428</v>
      </c>
      <c r="B2" s="3269"/>
      <c r="C2" s="3270">
        <f>Betrieb!E4</f>
        <v>2017</v>
      </c>
      <c r="D2" s="3271"/>
      <c r="E2" s="1525"/>
      <c r="F2" s="1526" t="s">
        <v>1429</v>
      </c>
      <c r="G2" s="1527">
        <f>Betrieb!B4</f>
        <v>0</v>
      </c>
      <c r="H2" s="1528"/>
      <c r="I2" s="1528"/>
      <c r="J2" s="1528"/>
      <c r="K2" s="1529"/>
      <c r="L2" s="1529"/>
      <c r="M2" s="1530"/>
      <c r="N2" s="1531"/>
      <c r="O2" s="1529"/>
      <c r="P2" s="1532"/>
      <c r="Q2" s="1533" t="s">
        <v>1430</v>
      </c>
      <c r="R2" s="3270">
        <f>Betrieb!C3</f>
        <v>0</v>
      </c>
      <c r="S2" s="3272"/>
      <c r="T2" s="3271"/>
      <c r="U2" s="1534"/>
      <c r="V2" s="1535" t="str">
        <f>"der Aufzeichnungszeitraum reicht von 1. Jänner bis 31. Dezember "&amp;Betrieb!E4</f>
        <v>der Aufzeichnungszeitraum reicht von 1. Jänner bis 31. Dezember 2017</v>
      </c>
      <c r="W2" s="1534"/>
      <c r="X2" s="1534"/>
      <c r="Y2" s="1534"/>
      <c r="Z2" s="1534"/>
      <c r="AA2" s="1534"/>
      <c r="AB2" s="1534"/>
      <c r="AC2" s="1536" t="s">
        <v>1431</v>
      </c>
      <c r="AD2" t="s">
        <v>1432</v>
      </c>
      <c r="AI2" s="1537" t="s">
        <v>1433</v>
      </c>
      <c r="AJ2" s="1538">
        <f>I3</f>
        <v>0</v>
      </c>
      <c r="BP2" s="1514"/>
      <c r="BQ2" s="3229" t="s">
        <v>1434</v>
      </c>
    </row>
    <row r="3" spans="1:69" ht="18">
      <c r="A3" s="1539"/>
      <c r="B3" s="1539"/>
      <c r="C3" s="1539"/>
      <c r="D3" s="1539"/>
      <c r="E3" s="1539"/>
      <c r="F3" s="1539"/>
      <c r="G3" s="1540"/>
      <c r="H3" s="1541" t="s">
        <v>1435</v>
      </c>
      <c r="I3" s="1542">
        <f>Betrieb!E10</f>
        <v>0</v>
      </c>
      <c r="J3" s="1514"/>
      <c r="K3" s="1543" t="s">
        <v>1436</v>
      </c>
      <c r="L3" s="1514"/>
      <c r="M3" s="1514"/>
      <c r="N3" s="1514"/>
      <c r="O3" s="1514"/>
      <c r="P3" s="1544"/>
      <c r="Q3" s="1544"/>
      <c r="R3" s="1544"/>
      <c r="S3" s="1544"/>
      <c r="T3" s="1544"/>
      <c r="U3" s="1544"/>
      <c r="V3" s="1544"/>
      <c r="W3" s="1544"/>
      <c r="X3" s="1544"/>
      <c r="Y3" s="1544"/>
      <c r="Z3" s="1545"/>
      <c r="AA3" s="1545"/>
      <c r="AB3" s="1545"/>
      <c r="AD3" t="s">
        <v>980</v>
      </c>
      <c r="AI3" s="1537" t="s">
        <v>1437</v>
      </c>
      <c r="AJ3" s="1546">
        <f>SUM(C9:C118)</f>
        <v>0</v>
      </c>
      <c r="BP3" s="1514"/>
      <c r="BQ3" s="3229"/>
    </row>
    <row r="4" spans="1:69" ht="17.25" thickBot="1">
      <c r="A4" s="1870"/>
      <c r="B4" s="1547"/>
      <c r="C4" s="1547"/>
      <c r="D4" s="1547"/>
      <c r="E4" s="1547"/>
      <c r="F4" s="1871"/>
      <c r="G4" s="1872"/>
      <c r="H4" s="1873" t="s">
        <v>1843</v>
      </c>
      <c r="I4" s="1874">
        <f>SUM(C9:C118)</f>
        <v>0</v>
      </c>
      <c r="J4" s="1871"/>
      <c r="K4" s="1875" t="s">
        <v>1438</v>
      </c>
      <c r="L4" s="1871"/>
      <c r="M4" s="1871"/>
      <c r="N4" s="1871"/>
      <c r="O4" s="1871"/>
      <c r="P4" s="1871"/>
      <c r="Q4" s="1871"/>
      <c r="R4" s="1871"/>
      <c r="S4" s="1871"/>
      <c r="T4" s="1871"/>
      <c r="U4" s="1871"/>
      <c r="V4" s="1871"/>
      <c r="W4" s="1871"/>
      <c r="X4" s="1871"/>
      <c r="Y4" s="1871"/>
      <c r="Z4" s="1545"/>
      <c r="AA4" s="1545"/>
      <c r="AB4" s="1545"/>
      <c r="AG4" s="1548"/>
      <c r="AH4" s="1548"/>
      <c r="AI4" s="1549" t="s">
        <v>1439</v>
      </c>
      <c r="AJ4" s="1550">
        <f>SUM(AK9:AK118)</f>
        <v>0</v>
      </c>
      <c r="AK4" t="s">
        <v>424</v>
      </c>
      <c r="BP4" s="1514"/>
      <c r="BQ4" s="3229"/>
    </row>
    <row r="5" spans="1:69" ht="19.5" customHeight="1" thickBot="1">
      <c r="A5" s="3273" t="s">
        <v>1440</v>
      </c>
      <c r="B5" s="3276" t="s">
        <v>1441</v>
      </c>
      <c r="C5" s="3279" t="s">
        <v>1442</v>
      </c>
      <c r="D5" s="3282" t="s">
        <v>1443</v>
      </c>
      <c r="E5" s="3285" t="s">
        <v>1444</v>
      </c>
      <c r="F5" s="3288" t="s">
        <v>1445</v>
      </c>
      <c r="G5" s="3257" t="s">
        <v>1446</v>
      </c>
      <c r="H5" s="3259" t="s">
        <v>1447</v>
      </c>
      <c r="I5" s="3260"/>
      <c r="J5" s="3261"/>
      <c r="K5" s="3257" t="s">
        <v>1446</v>
      </c>
      <c r="L5" s="3259" t="s">
        <v>1448</v>
      </c>
      <c r="M5" s="3260"/>
      <c r="N5" s="3260"/>
      <c r="O5" s="3261"/>
      <c r="P5" s="3257" t="s">
        <v>1446</v>
      </c>
      <c r="Q5" s="3259" t="s">
        <v>1449</v>
      </c>
      <c r="R5" s="3260"/>
      <c r="S5" s="3260"/>
      <c r="T5" s="3261"/>
      <c r="U5" s="3257" t="s">
        <v>1446</v>
      </c>
      <c r="V5" s="3259" t="s">
        <v>1450</v>
      </c>
      <c r="W5" s="3260"/>
      <c r="X5" s="3260"/>
      <c r="Y5" s="3261"/>
      <c r="Z5" s="3257" t="s">
        <v>1446</v>
      </c>
      <c r="AA5" s="3262" t="s">
        <v>1451</v>
      </c>
      <c r="AB5" s="3263"/>
      <c r="AC5" s="3243" t="s">
        <v>1452</v>
      </c>
      <c r="AD5" s="1551" t="s">
        <v>1453</v>
      </c>
      <c r="AE5" s="1551" t="s">
        <v>1446</v>
      </c>
      <c r="AF5" s="1551" t="s">
        <v>1454</v>
      </c>
      <c r="AG5" s="1552" t="s">
        <v>1455</v>
      </c>
      <c r="AH5" s="1552" t="s">
        <v>1456</v>
      </c>
      <c r="AI5" s="1553" t="s">
        <v>717</v>
      </c>
      <c r="AJ5" s="1554" t="s">
        <v>1457</v>
      </c>
      <c r="AK5" s="3246" t="s">
        <v>900</v>
      </c>
      <c r="AL5" s="3247"/>
      <c r="AM5" s="1555"/>
      <c r="AN5" s="3248" t="s">
        <v>1458</v>
      </c>
      <c r="AO5" s="3249"/>
      <c r="AP5" s="3249"/>
      <c r="AQ5" s="3249"/>
      <c r="AR5" s="3291"/>
      <c r="AT5" s="3248" t="s">
        <v>1459</v>
      </c>
      <c r="AU5" s="3249"/>
      <c r="AV5" s="3249"/>
      <c r="AW5" s="3249"/>
      <c r="AX5" s="3250"/>
      <c r="AY5" s="3234" t="s">
        <v>1460</v>
      </c>
      <c r="AZ5" s="1556"/>
      <c r="BA5" s="3248" t="s">
        <v>1461</v>
      </c>
      <c r="BB5" s="3249"/>
      <c r="BC5" s="3249"/>
      <c r="BD5" s="3250"/>
      <c r="BE5" s="3234" t="s">
        <v>976</v>
      </c>
      <c r="BG5" s="3237" t="s">
        <v>1462</v>
      </c>
      <c r="BH5" s="3238"/>
      <c r="BI5" s="3238"/>
      <c r="BJ5" s="3241" t="s">
        <v>1463</v>
      </c>
      <c r="BL5" s="3237" t="s">
        <v>1464</v>
      </c>
      <c r="BM5" s="3238"/>
      <c r="BN5" s="3238"/>
      <c r="BO5" s="3241" t="s">
        <v>1465</v>
      </c>
      <c r="BP5" s="1514"/>
      <c r="BQ5" s="1557" t="s">
        <v>1466</v>
      </c>
    </row>
    <row r="6" spans="1:69" ht="15.75" customHeight="1">
      <c r="A6" s="3274"/>
      <c r="B6" s="3277"/>
      <c r="C6" s="3280"/>
      <c r="D6" s="3283"/>
      <c r="E6" s="3286"/>
      <c r="F6" s="3289"/>
      <c r="G6" s="3258"/>
      <c r="H6" s="1558" t="s">
        <v>1467</v>
      </c>
      <c r="I6" s="1559"/>
      <c r="J6" s="1560" t="s">
        <v>1468</v>
      </c>
      <c r="K6" s="3258"/>
      <c r="L6" s="1561"/>
      <c r="M6" s="1559" t="str">
        <f>"("&amp;$C2&amp;")"</f>
        <v>(2017)</v>
      </c>
      <c r="N6" s="1562"/>
      <c r="O6" s="1560" t="s">
        <v>1468</v>
      </c>
      <c r="P6" s="3258"/>
      <c r="Q6" s="1561"/>
      <c r="R6" s="1559" t="str">
        <f>"("&amp;$C2&amp;")"</f>
        <v>(2017)</v>
      </c>
      <c r="S6" s="1562"/>
      <c r="T6" s="1560" t="s">
        <v>1468</v>
      </c>
      <c r="U6" s="3258"/>
      <c r="V6" s="1561"/>
      <c r="W6" s="1559" t="str">
        <f>"("&amp;$C2&amp;")"</f>
        <v>(2017)</v>
      </c>
      <c r="X6" s="1562"/>
      <c r="Y6" s="1560" t="s">
        <v>1468</v>
      </c>
      <c r="Z6" s="3258"/>
      <c r="AA6" s="3264"/>
      <c r="AB6" s="3265"/>
      <c r="AC6" s="3244"/>
      <c r="AD6" s="1563"/>
      <c r="AE6" s="1551"/>
      <c r="AF6" s="1551"/>
      <c r="AG6" s="1552"/>
      <c r="AH6" s="1552"/>
      <c r="AI6" s="1564"/>
      <c r="AJ6" s="1554"/>
      <c r="AK6" s="1554"/>
      <c r="AL6" s="1563"/>
      <c r="AM6" s="1187"/>
      <c r="AN6" s="3251"/>
      <c r="AO6" s="3252"/>
      <c r="AP6" s="3252"/>
      <c r="AQ6" s="3252"/>
      <c r="AR6" s="3292"/>
      <c r="AT6" s="3251"/>
      <c r="AU6" s="3252"/>
      <c r="AV6" s="3252"/>
      <c r="AW6" s="3252"/>
      <c r="AX6" s="3253"/>
      <c r="AY6" s="3235"/>
      <c r="AZ6" s="1556"/>
      <c r="BA6" s="3251"/>
      <c r="BB6" s="3252"/>
      <c r="BC6" s="3252"/>
      <c r="BD6" s="3253"/>
      <c r="BE6" s="3235"/>
      <c r="BG6" s="3239"/>
      <c r="BH6" s="3240"/>
      <c r="BI6" s="3240"/>
      <c r="BJ6" s="3242"/>
      <c r="BL6" s="3239"/>
      <c r="BM6" s="3240"/>
      <c r="BN6" s="3240"/>
      <c r="BO6" s="3242"/>
      <c r="BP6" s="1514"/>
      <c r="BQ6" s="3229" t="s">
        <v>1469</v>
      </c>
    </row>
    <row r="7" spans="1:69" ht="15.75" customHeight="1" thickBot="1">
      <c r="A7" s="3274"/>
      <c r="B7" s="3277"/>
      <c r="C7" s="3281"/>
      <c r="D7" s="3283"/>
      <c r="E7" s="3286"/>
      <c r="F7" s="3289"/>
      <c r="G7" s="3258"/>
      <c r="H7" s="1885" t="s">
        <v>1470</v>
      </c>
      <c r="I7" s="1886"/>
      <c r="J7" s="1565" t="s">
        <v>1471</v>
      </c>
      <c r="K7" s="3258"/>
      <c r="L7" s="1887" t="s">
        <v>1470</v>
      </c>
      <c r="M7" s="1886"/>
      <c r="N7" s="1886"/>
      <c r="O7" s="1565" t="s">
        <v>1471</v>
      </c>
      <c r="P7" s="3258"/>
      <c r="Q7" s="1887" t="s">
        <v>1470</v>
      </c>
      <c r="R7" s="1886"/>
      <c r="S7" s="1886"/>
      <c r="T7" s="1565" t="s">
        <v>1471</v>
      </c>
      <c r="U7" s="3258"/>
      <c r="V7" s="1887" t="s">
        <v>1470</v>
      </c>
      <c r="W7" s="1886"/>
      <c r="X7" s="1886"/>
      <c r="Y7" s="1565" t="s">
        <v>1471</v>
      </c>
      <c r="Z7" s="3258"/>
      <c r="AA7" s="3266"/>
      <c r="AB7" s="3267"/>
      <c r="AC7" s="3245"/>
      <c r="AD7" s="1563"/>
      <c r="AE7" s="1551"/>
      <c r="AF7" s="1551"/>
      <c r="AG7" s="1552"/>
      <c r="AH7" s="1552"/>
      <c r="AI7" s="1564"/>
      <c r="AJ7" s="1554"/>
      <c r="AK7" s="1554"/>
      <c r="AL7" s="1563"/>
      <c r="AM7" s="1187"/>
      <c r="AN7" s="3254"/>
      <c r="AO7" s="3255"/>
      <c r="AP7" s="3255"/>
      <c r="AQ7" s="3255"/>
      <c r="AR7" s="3293"/>
      <c r="AT7" s="3254"/>
      <c r="AU7" s="3255"/>
      <c r="AV7" s="3255"/>
      <c r="AW7" s="3255"/>
      <c r="AX7" s="3256"/>
      <c r="AY7" s="3236"/>
      <c r="AZ7" s="1556"/>
      <c r="BA7" s="3254"/>
      <c r="BB7" s="3255"/>
      <c r="BC7" s="3255"/>
      <c r="BD7" s="3256"/>
      <c r="BE7" s="3236"/>
      <c r="BG7" s="3239"/>
      <c r="BH7" s="3240"/>
      <c r="BI7" s="3240"/>
      <c r="BJ7" s="3242"/>
      <c r="BL7" s="3239"/>
      <c r="BM7" s="3240"/>
      <c r="BN7" s="3240"/>
      <c r="BO7" s="3242"/>
      <c r="BP7" s="1514"/>
      <c r="BQ7" s="3229"/>
    </row>
    <row r="8" spans="1:69" ht="18" customHeight="1" thickBot="1">
      <c r="A8" s="3275"/>
      <c r="B8" s="3278"/>
      <c r="C8" s="1888" t="s">
        <v>424</v>
      </c>
      <c r="D8" s="3284"/>
      <c r="E8" s="3287"/>
      <c r="F8" s="3290"/>
      <c r="G8" s="1889" t="s">
        <v>1472</v>
      </c>
      <c r="H8" s="1890" t="s">
        <v>1392</v>
      </c>
      <c r="I8" s="1891" t="s">
        <v>1473</v>
      </c>
      <c r="J8" s="1892" t="s">
        <v>1392</v>
      </c>
      <c r="K8" s="1889" t="s">
        <v>1472</v>
      </c>
      <c r="L8" s="1893" t="s">
        <v>1392</v>
      </c>
      <c r="M8" s="1894" t="s">
        <v>1473</v>
      </c>
      <c r="N8" s="1895" t="s">
        <v>1474</v>
      </c>
      <c r="O8" s="1896" t="s">
        <v>1392</v>
      </c>
      <c r="P8" s="1889" t="s">
        <v>1472</v>
      </c>
      <c r="Q8" s="1897" t="s">
        <v>1392</v>
      </c>
      <c r="R8" s="1894" t="s">
        <v>1473</v>
      </c>
      <c r="S8" s="1895" t="s">
        <v>1474</v>
      </c>
      <c r="T8" s="1896" t="s">
        <v>1392</v>
      </c>
      <c r="U8" s="1889" t="s">
        <v>1472</v>
      </c>
      <c r="V8" s="1897" t="s">
        <v>1392</v>
      </c>
      <c r="W8" s="1894" t="s">
        <v>1473</v>
      </c>
      <c r="X8" s="1895" t="s">
        <v>1474</v>
      </c>
      <c r="Y8" s="1896" t="s">
        <v>1392</v>
      </c>
      <c r="Z8" s="1889" t="s">
        <v>1472</v>
      </c>
      <c r="AA8" s="1897" t="s">
        <v>1475</v>
      </c>
      <c r="AB8" s="1898" t="s">
        <v>1476</v>
      </c>
      <c r="AC8" s="1566">
        <f>IF($C2=2015,AC9,IF($C2=2016,(AC10+1),IF($C2=2017,AC11,IF($C2=2018,AC12,IF($C2=2019,AC13,IF($C2=2020,(AC14+1),IF($C2=2021,AC15,0)))))))</f>
        <v>42736</v>
      </c>
      <c r="AD8" s="1567"/>
      <c r="AE8" s="1551" t="s">
        <v>1477</v>
      </c>
      <c r="AF8" s="1551" t="s">
        <v>1478</v>
      </c>
      <c r="AG8" s="1568" t="s">
        <v>1479</v>
      </c>
      <c r="AH8" s="1568" t="s">
        <v>1480</v>
      </c>
      <c r="AI8" s="1569"/>
      <c r="AJ8" s="1551" t="s">
        <v>1481</v>
      </c>
      <c r="AK8" s="3232" t="s">
        <v>424</v>
      </c>
      <c r="AL8" s="3233"/>
      <c r="AM8" s="1188"/>
      <c r="AN8" s="1570" t="s">
        <v>1482</v>
      </c>
      <c r="AO8" s="1571" t="s">
        <v>1483</v>
      </c>
      <c r="AP8" s="1571" t="s">
        <v>1484</v>
      </c>
      <c r="AQ8" s="1571" t="s">
        <v>1485</v>
      </c>
      <c r="AR8" s="1572" t="s">
        <v>1486</v>
      </c>
      <c r="AT8" s="1570" t="s">
        <v>1482</v>
      </c>
      <c r="AU8" s="1571" t="s">
        <v>1483</v>
      </c>
      <c r="AV8" s="1571" t="s">
        <v>1484</v>
      </c>
      <c r="AW8" s="1571" t="s">
        <v>1485</v>
      </c>
      <c r="AX8" s="1572" t="s">
        <v>1486</v>
      </c>
      <c r="AY8" s="1573" t="s">
        <v>1487</v>
      </c>
      <c r="AZ8" s="1574"/>
      <c r="BA8" s="1570" t="s">
        <v>1483</v>
      </c>
      <c r="BB8" s="1571" t="s">
        <v>1484</v>
      </c>
      <c r="BC8" s="1571" t="s">
        <v>1485</v>
      </c>
      <c r="BD8" s="1572" t="s">
        <v>1486</v>
      </c>
      <c r="BE8" s="1573" t="s">
        <v>1488</v>
      </c>
      <c r="BG8" s="1568" t="s">
        <v>1489</v>
      </c>
      <c r="BH8" s="1568" t="s">
        <v>1490</v>
      </c>
      <c r="BI8" s="1568" t="s">
        <v>1491</v>
      </c>
      <c r="BJ8" s="1568" t="s">
        <v>1487</v>
      </c>
      <c r="BL8" s="1575" t="s">
        <v>1492</v>
      </c>
      <c r="BM8" s="1575" t="s">
        <v>1493</v>
      </c>
      <c r="BN8" s="1575" t="s">
        <v>1494</v>
      </c>
      <c r="BO8" s="1576" t="s">
        <v>717</v>
      </c>
      <c r="BP8" s="1514"/>
      <c r="BQ8" s="3229"/>
    </row>
    <row r="9" spans="1:69" ht="30" customHeight="1">
      <c r="A9" s="1876"/>
      <c r="B9" s="1876"/>
      <c r="C9" s="1877"/>
      <c r="D9" s="1878"/>
      <c r="E9" s="1879"/>
      <c r="F9" s="1880"/>
      <c r="G9" s="1579">
        <f t="shared" ref="G9:G118" si="0">AN9</f>
        <v>0</v>
      </c>
      <c r="H9" s="1880"/>
      <c r="I9" s="1881"/>
      <c r="J9" s="1880"/>
      <c r="K9" s="1882">
        <f t="shared" ref="K9:K118" si="1">AO9</f>
        <v>0</v>
      </c>
      <c r="L9" s="1880"/>
      <c r="M9" s="1881"/>
      <c r="N9" s="1879"/>
      <c r="O9" s="1880"/>
      <c r="P9" s="1882">
        <f t="shared" ref="P9:P118" si="2">AP9</f>
        <v>0</v>
      </c>
      <c r="Q9" s="1880"/>
      <c r="R9" s="1881"/>
      <c r="S9" s="1879"/>
      <c r="T9" s="1880"/>
      <c r="U9" s="1882">
        <f t="shared" ref="U9:U118" si="3">AQ9</f>
        <v>0</v>
      </c>
      <c r="V9" s="1880"/>
      <c r="W9" s="1881"/>
      <c r="X9" s="1879"/>
      <c r="Y9" s="1880"/>
      <c r="Z9" s="1882">
        <f t="shared" ref="Z9:Z118" si="4">AR9</f>
        <v>0</v>
      </c>
      <c r="AA9" s="1883">
        <f t="shared" ref="AA9:AA118" si="5">IF(ISBLANK(C9),0,IF(AJ9=0,"ja",AL9))</f>
        <v>0</v>
      </c>
      <c r="AB9" s="1884" t="str">
        <f t="shared" ref="AB9:AB118" si="6">AD9</f>
        <v/>
      </c>
      <c r="AC9" s="1188">
        <v>42005</v>
      </c>
      <c r="AD9" s="1580" t="str">
        <f t="shared" ref="AD9:AD118" si="7">IF(AE9=1,"Boden zu lang offen!",IF(AF9=1,"Begrünungszeitraum ist zu kurz!",IF(AG9=1,"Begrünungsanbau zu spät!",IF(AH9=1,"Keine Winterbegrünung!",""))))</f>
        <v/>
      </c>
      <c r="AE9" s="1581">
        <f t="shared" ref="AE9:AE118" si="8">IF(AY9&gt;0,1,0)</f>
        <v>0</v>
      </c>
      <c r="AF9" s="1581">
        <f t="shared" ref="AF9:AF118" si="9">IF(BJ9&gt;0,1,0)</f>
        <v>0</v>
      </c>
      <c r="AG9" s="1581">
        <f t="shared" ref="AG9:AG118" si="10">IF(BO9&gt;0,1,0)</f>
        <v>0</v>
      </c>
      <c r="AH9" s="1581">
        <f t="shared" ref="AH9:AH118" si="11">IF(BE9=1,1,0)</f>
        <v>0</v>
      </c>
      <c r="AI9" s="1582">
        <f t="shared" ref="AI9:AI118" si="12">SUM(AE9:AH9)</f>
        <v>0</v>
      </c>
      <c r="AJ9" s="1583">
        <f t="shared" ref="AJ9:AJ118" si="13">IF(OR(ISBLANK(I9),AI9&gt;0),1,0)</f>
        <v>1</v>
      </c>
      <c r="AK9" s="1581">
        <f t="shared" ref="AK9:AK118" si="14">IF(AJ9=1,C9,0)</f>
        <v>0</v>
      </c>
      <c r="AL9" s="1584" t="e">
        <f t="shared" ref="AL9:AL118" si="15">AK9/$AJ$2</f>
        <v>#DIV/0!</v>
      </c>
      <c r="AM9" s="1188"/>
      <c r="AN9" s="1585">
        <f t="shared" ref="AN9:AN118" si="16">IF(E9="nein",H9-$AC$8,H9-F9)</f>
        <v>0</v>
      </c>
      <c r="AO9" s="1583">
        <f t="shared" ref="AO9:AO118" si="17">IF(ISBLANK(J9),0,IF(ISBLANK(L9),($AC$8+365)-J9,L9-J9))</f>
        <v>0</v>
      </c>
      <c r="AP9" s="1583">
        <f t="shared" ref="AP9:AP118" si="18">IF(ISBLANK(O9),0,IF(ISBLANK(Q9),($AC$8+365)-O9,Q9-O9))</f>
        <v>0</v>
      </c>
      <c r="AQ9" s="1583">
        <f t="shared" ref="AQ9:AQ118" si="19">IF(ISBLANK(T9),0,IF(ISBLANK(V9),($AC$8+365)-T9,V9-T9))</f>
        <v>0</v>
      </c>
      <c r="AR9" s="1586">
        <f t="shared" ref="AR9:AR118" si="20">IF(ISBLANK(Y9),0,($AC$8+365)-Y9)</f>
        <v>0</v>
      </c>
      <c r="AT9" s="1587">
        <f t="shared" ref="AT9:AT118" si="21">IF(AND(E9="nein",AN9&gt;30),1,IF(AND(E9="ja ZWF",AN9&gt;30),1,IF(AND(E9="ja HF",AN9&gt;50),1,0)))</f>
        <v>0</v>
      </c>
      <c r="AU9" s="1583">
        <f t="shared" ref="AU9:AU118" si="22">IF(AND(N9="",L9&gt;0,AO9&gt;30),1,IF(AND(N9="ZWF",AO9&gt;30),1,IF(AND(N9="HF",AO9&gt;50),1,0)))</f>
        <v>0</v>
      </c>
      <c r="AV9" s="1583">
        <f t="shared" ref="AV9:AV118" si="23">IF(AND(S9="",Q9&gt;0,AP9&gt;30),1,IF(AND(S9="ZWF",AP9&gt;30),1,IF(AND(S9="HF",AP9&gt;50),1,0)))</f>
        <v>0</v>
      </c>
      <c r="AW9" s="1583">
        <f t="shared" ref="AW9:AW118" si="24">IF(AND(X9="",V9&gt;0,AQ9&gt;30),1,IF(AND(X9="ZWF",AQ9&gt;30),1,IF(AND(X9="HF",AQ9&gt;50),1,0)))</f>
        <v>0</v>
      </c>
      <c r="AX9" s="1583">
        <f t="shared" ref="AX9:AX118" si="25">IF(AR9&lt;31,0,IF(AND(X9="ZWF",AR9&lt;31),0,IF(AND(X9="HF",AR9&lt;51),0,1)))</f>
        <v>0</v>
      </c>
      <c r="AY9" s="1588">
        <f t="shared" ref="AY9:AY118" si="26">SUM(AT9:AX9)</f>
        <v>0</v>
      </c>
      <c r="AZ9" s="1189"/>
      <c r="BA9" s="1587">
        <f t="shared" ref="BA9:BA118" si="27">IF(AND(J9&gt;0,L9=0),1,0)</f>
        <v>0</v>
      </c>
      <c r="BB9" s="1583">
        <f t="shared" ref="BB9:BB118" si="28">IF(AND(O9&gt;0,Q9=0),1,0)</f>
        <v>0</v>
      </c>
      <c r="BC9" s="1583">
        <f t="shared" ref="BC9:BC118" si="29">IF(AND(T9&gt;0,V9=0),1,0)</f>
        <v>0</v>
      </c>
      <c r="BD9" s="1583">
        <f t="shared" ref="BD9:BD118" si="30">IF(Y9&gt;0,1,0)</f>
        <v>0</v>
      </c>
      <c r="BE9" s="1588">
        <f t="shared" ref="BE9:BE118" si="31">SUM(BA9:BD9)</f>
        <v>0</v>
      </c>
      <c r="BG9" s="1581">
        <f t="shared" ref="BG9:BG118" si="32">IF(ISBLANK(O9),($AC$8+365)-L9,O9-L9)</f>
        <v>43101</v>
      </c>
      <c r="BH9" s="1581">
        <f t="shared" ref="BH9:BH118" si="33">IF(ISBLANK(T9),($AC$8+365)-Q9,T9-Q9)</f>
        <v>43101</v>
      </c>
      <c r="BI9" s="1581">
        <f t="shared" ref="BI9:BI118" si="34">IF(ISBLANK(Y9),($AC$8+365)-V9,Y9-V9)</f>
        <v>43101</v>
      </c>
      <c r="BJ9" s="1581">
        <f t="shared" ref="BJ9:BJ118" si="35">IF(OR(BG9&lt;36,BH9&lt;36,BI9&lt;36),1,0)</f>
        <v>0</v>
      </c>
      <c r="BK9" s="1190"/>
      <c r="BL9" s="1585">
        <f t="shared" ref="BL9:BL118" si="36">IF(AND(N9="ZWF",L9&gt;($AC$8+273)),1,0)</f>
        <v>0</v>
      </c>
      <c r="BM9" s="1581">
        <f t="shared" ref="BM9:BM118" si="37">IF(AND(S9="ZWF",Q9&gt;($AC$8+273)),1,0)</f>
        <v>0</v>
      </c>
      <c r="BN9" s="1581">
        <f t="shared" ref="BN9:BN118" si="38">IF(AND(X9="ZWF",V9&gt;($AC$8+273)),1,0)</f>
        <v>0</v>
      </c>
      <c r="BO9" s="1589">
        <f t="shared" ref="BO9:BO118" si="39">SUM(BL9:BN9)</f>
        <v>0</v>
      </c>
      <c r="BP9" s="1514"/>
      <c r="BQ9" s="3229"/>
    </row>
    <row r="10" spans="1:69" ht="30" customHeight="1">
      <c r="A10" s="1577"/>
      <c r="B10" s="1577"/>
      <c r="C10" s="1603"/>
      <c r="D10" s="1578"/>
      <c r="E10" s="1863"/>
      <c r="F10" s="1864"/>
      <c r="G10" s="1865">
        <f t="shared" si="0"/>
        <v>0</v>
      </c>
      <c r="H10" s="1864"/>
      <c r="I10" s="1866"/>
      <c r="J10" s="1864"/>
      <c r="K10" s="1867">
        <f t="shared" si="1"/>
        <v>0</v>
      </c>
      <c r="L10" s="1864"/>
      <c r="M10" s="1866"/>
      <c r="N10" s="1863"/>
      <c r="O10" s="1864"/>
      <c r="P10" s="1867">
        <f t="shared" si="2"/>
        <v>0</v>
      </c>
      <c r="Q10" s="1864"/>
      <c r="R10" s="1866"/>
      <c r="S10" s="1863"/>
      <c r="T10" s="1864"/>
      <c r="U10" s="1867">
        <f t="shared" si="3"/>
        <v>0</v>
      </c>
      <c r="V10" s="1864"/>
      <c r="W10" s="1866"/>
      <c r="X10" s="1863"/>
      <c r="Y10" s="1864"/>
      <c r="Z10" s="1867">
        <f t="shared" si="4"/>
        <v>0</v>
      </c>
      <c r="AA10" s="1868">
        <f t="shared" si="5"/>
        <v>0</v>
      </c>
      <c r="AB10" s="1869" t="str">
        <f t="shared" si="6"/>
        <v/>
      </c>
      <c r="AC10" s="1188">
        <v>42370</v>
      </c>
      <c r="AD10" s="1580" t="str">
        <f t="shared" si="7"/>
        <v/>
      </c>
      <c r="AE10" s="1581">
        <f t="shared" si="8"/>
        <v>0</v>
      </c>
      <c r="AF10" s="1581">
        <f t="shared" si="9"/>
        <v>0</v>
      </c>
      <c r="AG10" s="1581">
        <f t="shared" si="10"/>
        <v>0</v>
      </c>
      <c r="AH10" s="1581">
        <f t="shared" si="11"/>
        <v>0</v>
      </c>
      <c r="AI10" s="1582">
        <f t="shared" si="12"/>
        <v>0</v>
      </c>
      <c r="AJ10" s="1583">
        <f t="shared" si="13"/>
        <v>1</v>
      </c>
      <c r="AK10" s="1581">
        <f t="shared" si="14"/>
        <v>0</v>
      </c>
      <c r="AL10" s="1584" t="e">
        <f t="shared" si="15"/>
        <v>#DIV/0!</v>
      </c>
      <c r="AM10" s="1188"/>
      <c r="AN10" s="1585">
        <f t="shared" si="16"/>
        <v>0</v>
      </c>
      <c r="AO10" s="1583">
        <f t="shared" si="17"/>
        <v>0</v>
      </c>
      <c r="AP10" s="1583">
        <f t="shared" si="18"/>
        <v>0</v>
      </c>
      <c r="AQ10" s="1583">
        <f t="shared" si="19"/>
        <v>0</v>
      </c>
      <c r="AR10" s="1586">
        <f t="shared" si="20"/>
        <v>0</v>
      </c>
      <c r="AT10" s="1587">
        <f t="shared" si="21"/>
        <v>0</v>
      </c>
      <c r="AU10" s="1583">
        <f t="shared" si="22"/>
        <v>0</v>
      </c>
      <c r="AV10" s="1583">
        <f t="shared" si="23"/>
        <v>0</v>
      </c>
      <c r="AW10" s="1583">
        <f t="shared" si="24"/>
        <v>0</v>
      </c>
      <c r="AX10" s="1583">
        <f t="shared" si="25"/>
        <v>0</v>
      </c>
      <c r="AY10" s="1588">
        <f t="shared" si="26"/>
        <v>0</v>
      </c>
      <c r="AZ10" s="1189"/>
      <c r="BA10" s="1587">
        <f t="shared" si="27"/>
        <v>0</v>
      </c>
      <c r="BB10" s="1583">
        <f t="shared" si="28"/>
        <v>0</v>
      </c>
      <c r="BC10" s="1583">
        <f t="shared" si="29"/>
        <v>0</v>
      </c>
      <c r="BD10" s="1583">
        <f t="shared" si="30"/>
        <v>0</v>
      </c>
      <c r="BE10" s="1588">
        <f t="shared" si="31"/>
        <v>0</v>
      </c>
      <c r="BG10" s="1581">
        <f t="shared" si="32"/>
        <v>43101</v>
      </c>
      <c r="BH10" s="1581">
        <f t="shared" si="33"/>
        <v>43101</v>
      </c>
      <c r="BI10" s="1581">
        <f t="shared" si="34"/>
        <v>43101</v>
      </c>
      <c r="BJ10" s="1581">
        <f t="shared" si="35"/>
        <v>0</v>
      </c>
      <c r="BL10" s="1585">
        <f t="shared" si="36"/>
        <v>0</v>
      </c>
      <c r="BM10" s="1581">
        <f t="shared" si="37"/>
        <v>0</v>
      </c>
      <c r="BN10" s="1581">
        <f t="shared" si="38"/>
        <v>0</v>
      </c>
      <c r="BO10" s="1589">
        <f t="shared" si="39"/>
        <v>0</v>
      </c>
      <c r="BP10" s="1514"/>
      <c r="BQ10" s="1111" t="s">
        <v>1729</v>
      </c>
    </row>
    <row r="11" spans="1:69" ht="30" customHeight="1">
      <c r="A11" s="1577"/>
      <c r="B11" s="1577"/>
      <c r="C11" s="1603"/>
      <c r="D11" s="1578"/>
      <c r="E11" s="1863"/>
      <c r="F11" s="1864"/>
      <c r="G11" s="1865">
        <f t="shared" si="0"/>
        <v>0</v>
      </c>
      <c r="H11" s="1864"/>
      <c r="I11" s="1866"/>
      <c r="J11" s="1864"/>
      <c r="K11" s="1867">
        <f t="shared" si="1"/>
        <v>0</v>
      </c>
      <c r="L11" s="1864"/>
      <c r="M11" s="1866"/>
      <c r="N11" s="1863"/>
      <c r="O11" s="1864"/>
      <c r="P11" s="1867">
        <f t="shared" si="2"/>
        <v>0</v>
      </c>
      <c r="Q11" s="1864"/>
      <c r="R11" s="1866"/>
      <c r="S11" s="1863"/>
      <c r="T11" s="1864"/>
      <c r="U11" s="1867">
        <f t="shared" si="3"/>
        <v>0</v>
      </c>
      <c r="V11" s="1864"/>
      <c r="W11" s="1866"/>
      <c r="X11" s="1863"/>
      <c r="Y11" s="1864"/>
      <c r="Z11" s="1867">
        <f t="shared" si="4"/>
        <v>0</v>
      </c>
      <c r="AA11" s="1868">
        <f t="shared" si="5"/>
        <v>0</v>
      </c>
      <c r="AB11" s="1869" t="str">
        <f t="shared" si="6"/>
        <v/>
      </c>
      <c r="AC11" s="1188">
        <v>42736</v>
      </c>
      <c r="AD11" s="1580" t="str">
        <f t="shared" si="7"/>
        <v/>
      </c>
      <c r="AE11" s="1581">
        <f t="shared" si="8"/>
        <v>0</v>
      </c>
      <c r="AF11" s="1581">
        <f t="shared" si="9"/>
        <v>0</v>
      </c>
      <c r="AG11" s="1581">
        <f t="shared" si="10"/>
        <v>0</v>
      </c>
      <c r="AH11" s="1581">
        <f t="shared" si="11"/>
        <v>0</v>
      </c>
      <c r="AI11" s="1582">
        <f t="shared" si="12"/>
        <v>0</v>
      </c>
      <c r="AJ11" s="1583">
        <f t="shared" si="13"/>
        <v>1</v>
      </c>
      <c r="AK11" s="1581">
        <f t="shared" si="14"/>
        <v>0</v>
      </c>
      <c r="AL11" s="1584" t="e">
        <f t="shared" si="15"/>
        <v>#DIV/0!</v>
      </c>
      <c r="AM11" s="1188"/>
      <c r="AN11" s="1585">
        <f t="shared" si="16"/>
        <v>0</v>
      </c>
      <c r="AO11" s="1583">
        <f t="shared" si="17"/>
        <v>0</v>
      </c>
      <c r="AP11" s="1583">
        <f t="shared" si="18"/>
        <v>0</v>
      </c>
      <c r="AQ11" s="1583">
        <f t="shared" si="19"/>
        <v>0</v>
      </c>
      <c r="AR11" s="1586">
        <f t="shared" si="20"/>
        <v>0</v>
      </c>
      <c r="AT11" s="1587">
        <f t="shared" si="21"/>
        <v>0</v>
      </c>
      <c r="AU11" s="1583">
        <f t="shared" si="22"/>
        <v>0</v>
      </c>
      <c r="AV11" s="1583">
        <f t="shared" si="23"/>
        <v>0</v>
      </c>
      <c r="AW11" s="1583">
        <f t="shared" si="24"/>
        <v>0</v>
      </c>
      <c r="AX11" s="1583">
        <f t="shared" si="25"/>
        <v>0</v>
      </c>
      <c r="AY11" s="1588">
        <f t="shared" si="26"/>
        <v>0</v>
      </c>
      <c r="AZ11" s="1189"/>
      <c r="BA11" s="1587">
        <f t="shared" si="27"/>
        <v>0</v>
      </c>
      <c r="BB11" s="1583">
        <f t="shared" si="28"/>
        <v>0</v>
      </c>
      <c r="BC11" s="1583">
        <f t="shared" si="29"/>
        <v>0</v>
      </c>
      <c r="BD11" s="1583">
        <f t="shared" si="30"/>
        <v>0</v>
      </c>
      <c r="BE11" s="1588">
        <f t="shared" si="31"/>
        <v>0</v>
      </c>
      <c r="BG11" s="1581">
        <f t="shared" si="32"/>
        <v>43101</v>
      </c>
      <c r="BH11" s="1581">
        <f t="shared" si="33"/>
        <v>43101</v>
      </c>
      <c r="BI11" s="1581">
        <f t="shared" si="34"/>
        <v>43101</v>
      </c>
      <c r="BJ11" s="1581">
        <f t="shared" si="35"/>
        <v>0</v>
      </c>
      <c r="BL11" s="1585">
        <f t="shared" si="36"/>
        <v>0</v>
      </c>
      <c r="BM11" s="1581">
        <f t="shared" si="37"/>
        <v>0</v>
      </c>
      <c r="BN11" s="1581">
        <f t="shared" si="38"/>
        <v>0</v>
      </c>
      <c r="BO11" s="1589">
        <f t="shared" si="39"/>
        <v>0</v>
      </c>
      <c r="BP11" s="1514"/>
      <c r="BQ11" s="3229" t="s">
        <v>1495</v>
      </c>
    </row>
    <row r="12" spans="1:69" ht="30" customHeight="1">
      <c r="A12" s="1577"/>
      <c r="B12" s="1577"/>
      <c r="C12" s="1603"/>
      <c r="D12" s="1578"/>
      <c r="E12" s="1863"/>
      <c r="F12" s="1864"/>
      <c r="G12" s="1865">
        <f t="shared" si="0"/>
        <v>0</v>
      </c>
      <c r="H12" s="1864"/>
      <c r="I12" s="1866"/>
      <c r="J12" s="1864"/>
      <c r="K12" s="1867">
        <f t="shared" si="1"/>
        <v>0</v>
      </c>
      <c r="L12" s="1864"/>
      <c r="M12" s="1866"/>
      <c r="N12" s="1863"/>
      <c r="O12" s="1864"/>
      <c r="P12" s="1867">
        <f t="shared" si="2"/>
        <v>0</v>
      </c>
      <c r="Q12" s="1864"/>
      <c r="R12" s="1866"/>
      <c r="S12" s="1863"/>
      <c r="T12" s="1864"/>
      <c r="U12" s="1867">
        <f t="shared" si="3"/>
        <v>0</v>
      </c>
      <c r="V12" s="1864"/>
      <c r="W12" s="1866"/>
      <c r="X12" s="1863"/>
      <c r="Y12" s="1864"/>
      <c r="Z12" s="1867">
        <f t="shared" si="4"/>
        <v>0</v>
      </c>
      <c r="AA12" s="1868">
        <f t="shared" si="5"/>
        <v>0</v>
      </c>
      <c r="AB12" s="1869" t="str">
        <f t="shared" si="6"/>
        <v/>
      </c>
      <c r="AC12" s="1188">
        <v>43101</v>
      </c>
      <c r="AD12" s="1580" t="str">
        <f t="shared" si="7"/>
        <v/>
      </c>
      <c r="AE12" s="1581">
        <f t="shared" si="8"/>
        <v>0</v>
      </c>
      <c r="AF12" s="1581">
        <f t="shared" si="9"/>
        <v>0</v>
      </c>
      <c r="AG12" s="1581">
        <f t="shared" si="10"/>
        <v>0</v>
      </c>
      <c r="AH12" s="1581">
        <f t="shared" si="11"/>
        <v>0</v>
      </c>
      <c r="AI12" s="1582">
        <f t="shared" si="12"/>
        <v>0</v>
      </c>
      <c r="AJ12" s="1583">
        <f t="shared" si="13"/>
        <v>1</v>
      </c>
      <c r="AK12" s="1581">
        <f t="shared" si="14"/>
        <v>0</v>
      </c>
      <c r="AL12" s="1584" t="e">
        <f t="shared" si="15"/>
        <v>#DIV/0!</v>
      </c>
      <c r="AM12" s="1188"/>
      <c r="AN12" s="1585">
        <f t="shared" si="16"/>
        <v>0</v>
      </c>
      <c r="AO12" s="1583">
        <f t="shared" si="17"/>
        <v>0</v>
      </c>
      <c r="AP12" s="1583">
        <f t="shared" si="18"/>
        <v>0</v>
      </c>
      <c r="AQ12" s="1583">
        <f t="shared" si="19"/>
        <v>0</v>
      </c>
      <c r="AR12" s="1586">
        <f t="shared" si="20"/>
        <v>0</v>
      </c>
      <c r="AT12" s="1587">
        <f t="shared" si="21"/>
        <v>0</v>
      </c>
      <c r="AU12" s="1583">
        <f t="shared" si="22"/>
        <v>0</v>
      </c>
      <c r="AV12" s="1583">
        <f t="shared" si="23"/>
        <v>0</v>
      </c>
      <c r="AW12" s="1583">
        <f t="shared" si="24"/>
        <v>0</v>
      </c>
      <c r="AX12" s="1583">
        <f t="shared" si="25"/>
        <v>0</v>
      </c>
      <c r="AY12" s="1588">
        <f t="shared" si="26"/>
        <v>0</v>
      </c>
      <c r="AZ12" s="1189"/>
      <c r="BA12" s="1587">
        <f t="shared" si="27"/>
        <v>0</v>
      </c>
      <c r="BB12" s="1583">
        <f t="shared" si="28"/>
        <v>0</v>
      </c>
      <c r="BC12" s="1583">
        <f t="shared" si="29"/>
        <v>0</v>
      </c>
      <c r="BD12" s="1583">
        <f t="shared" si="30"/>
        <v>0</v>
      </c>
      <c r="BE12" s="1588">
        <f t="shared" si="31"/>
        <v>0</v>
      </c>
      <c r="BG12" s="1581">
        <f t="shared" si="32"/>
        <v>43101</v>
      </c>
      <c r="BH12" s="1581">
        <f t="shared" si="33"/>
        <v>43101</v>
      </c>
      <c r="BI12" s="1581">
        <f t="shared" si="34"/>
        <v>43101</v>
      </c>
      <c r="BJ12" s="1581">
        <f t="shared" si="35"/>
        <v>0</v>
      </c>
      <c r="BL12" s="1585">
        <f t="shared" si="36"/>
        <v>0</v>
      </c>
      <c r="BM12" s="1581">
        <f t="shared" si="37"/>
        <v>0</v>
      </c>
      <c r="BN12" s="1581">
        <f t="shared" si="38"/>
        <v>0</v>
      </c>
      <c r="BO12" s="1589">
        <f t="shared" si="39"/>
        <v>0</v>
      </c>
      <c r="BP12" s="1514"/>
      <c r="BQ12" s="3229"/>
    </row>
    <row r="13" spans="1:69" ht="30" customHeight="1">
      <c r="A13" s="1577"/>
      <c r="B13" s="1577"/>
      <c r="C13" s="1603"/>
      <c r="D13" s="1578"/>
      <c r="E13" s="1863"/>
      <c r="F13" s="1864"/>
      <c r="G13" s="1865">
        <f t="shared" si="0"/>
        <v>0</v>
      </c>
      <c r="H13" s="1864"/>
      <c r="I13" s="1866"/>
      <c r="J13" s="1864"/>
      <c r="K13" s="1867">
        <f t="shared" si="1"/>
        <v>0</v>
      </c>
      <c r="L13" s="1864"/>
      <c r="M13" s="1866"/>
      <c r="N13" s="1863"/>
      <c r="O13" s="1864"/>
      <c r="P13" s="1867">
        <f t="shared" si="2"/>
        <v>0</v>
      </c>
      <c r="Q13" s="1864"/>
      <c r="R13" s="1866"/>
      <c r="S13" s="1863"/>
      <c r="T13" s="1864"/>
      <c r="U13" s="1867">
        <f t="shared" si="3"/>
        <v>0</v>
      </c>
      <c r="V13" s="1864"/>
      <c r="W13" s="1866"/>
      <c r="X13" s="1863"/>
      <c r="Y13" s="1864"/>
      <c r="Z13" s="1867">
        <f t="shared" si="4"/>
        <v>0</v>
      </c>
      <c r="AA13" s="1868">
        <f t="shared" si="5"/>
        <v>0</v>
      </c>
      <c r="AB13" s="1869" t="str">
        <f t="shared" si="6"/>
        <v/>
      </c>
      <c r="AC13" s="1188">
        <v>43466</v>
      </c>
      <c r="AD13" s="1580" t="str">
        <f t="shared" si="7"/>
        <v/>
      </c>
      <c r="AE13" s="1581">
        <f t="shared" si="8"/>
        <v>0</v>
      </c>
      <c r="AF13" s="1581">
        <f t="shared" si="9"/>
        <v>0</v>
      </c>
      <c r="AG13" s="1581">
        <f t="shared" si="10"/>
        <v>0</v>
      </c>
      <c r="AH13" s="1581">
        <f t="shared" si="11"/>
        <v>0</v>
      </c>
      <c r="AI13" s="1582">
        <f t="shared" si="12"/>
        <v>0</v>
      </c>
      <c r="AJ13" s="1583">
        <f t="shared" si="13"/>
        <v>1</v>
      </c>
      <c r="AK13" s="1581">
        <f t="shared" si="14"/>
        <v>0</v>
      </c>
      <c r="AL13" s="1584" t="e">
        <f t="shared" si="15"/>
        <v>#DIV/0!</v>
      </c>
      <c r="AM13" s="1188"/>
      <c r="AN13" s="1585">
        <f t="shared" si="16"/>
        <v>0</v>
      </c>
      <c r="AO13" s="1583">
        <f t="shared" si="17"/>
        <v>0</v>
      </c>
      <c r="AP13" s="1583">
        <f t="shared" si="18"/>
        <v>0</v>
      </c>
      <c r="AQ13" s="1583">
        <f t="shared" si="19"/>
        <v>0</v>
      </c>
      <c r="AR13" s="1586">
        <f t="shared" si="20"/>
        <v>0</v>
      </c>
      <c r="AT13" s="1587">
        <f t="shared" si="21"/>
        <v>0</v>
      </c>
      <c r="AU13" s="1583">
        <f t="shared" si="22"/>
        <v>0</v>
      </c>
      <c r="AV13" s="1583">
        <f t="shared" si="23"/>
        <v>0</v>
      </c>
      <c r="AW13" s="1583">
        <f t="shared" si="24"/>
        <v>0</v>
      </c>
      <c r="AX13" s="1583">
        <f t="shared" si="25"/>
        <v>0</v>
      </c>
      <c r="AY13" s="1588">
        <f t="shared" si="26"/>
        <v>0</v>
      </c>
      <c r="AZ13" s="1189"/>
      <c r="BA13" s="1587">
        <f t="shared" si="27"/>
        <v>0</v>
      </c>
      <c r="BB13" s="1583">
        <f t="shared" si="28"/>
        <v>0</v>
      </c>
      <c r="BC13" s="1583">
        <f t="shared" si="29"/>
        <v>0</v>
      </c>
      <c r="BD13" s="1583">
        <f t="shared" si="30"/>
        <v>0</v>
      </c>
      <c r="BE13" s="1588">
        <f t="shared" si="31"/>
        <v>0</v>
      </c>
      <c r="BG13" s="1581">
        <f t="shared" si="32"/>
        <v>43101</v>
      </c>
      <c r="BH13" s="1581">
        <f t="shared" si="33"/>
        <v>43101</v>
      </c>
      <c r="BI13" s="1581">
        <f t="shared" si="34"/>
        <v>43101</v>
      </c>
      <c r="BJ13" s="1581">
        <f t="shared" si="35"/>
        <v>0</v>
      </c>
      <c r="BL13" s="1585">
        <f t="shared" si="36"/>
        <v>0</v>
      </c>
      <c r="BM13" s="1581">
        <f t="shared" si="37"/>
        <v>0</v>
      </c>
      <c r="BN13" s="1581">
        <f t="shared" si="38"/>
        <v>0</v>
      </c>
      <c r="BO13" s="1589">
        <f t="shared" si="39"/>
        <v>0</v>
      </c>
      <c r="BP13" s="1514"/>
      <c r="BQ13" s="3229" t="s">
        <v>1496</v>
      </c>
    </row>
    <row r="14" spans="1:69" ht="30" customHeight="1">
      <c r="A14" s="1577"/>
      <c r="B14" s="1577"/>
      <c r="C14" s="1603"/>
      <c r="D14" s="1578"/>
      <c r="E14" s="1863"/>
      <c r="F14" s="1864"/>
      <c r="G14" s="1865">
        <f t="shared" si="0"/>
        <v>0</v>
      </c>
      <c r="H14" s="1864"/>
      <c r="I14" s="1866"/>
      <c r="J14" s="1864"/>
      <c r="K14" s="1867">
        <f t="shared" si="1"/>
        <v>0</v>
      </c>
      <c r="L14" s="1864"/>
      <c r="M14" s="1866"/>
      <c r="N14" s="1863"/>
      <c r="O14" s="1864"/>
      <c r="P14" s="1867">
        <f t="shared" si="2"/>
        <v>0</v>
      </c>
      <c r="Q14" s="1864"/>
      <c r="R14" s="1866"/>
      <c r="S14" s="1863"/>
      <c r="T14" s="1864"/>
      <c r="U14" s="1867">
        <f t="shared" si="3"/>
        <v>0</v>
      </c>
      <c r="V14" s="1864"/>
      <c r="W14" s="1866"/>
      <c r="X14" s="1863"/>
      <c r="Y14" s="1864"/>
      <c r="Z14" s="1867">
        <f t="shared" si="4"/>
        <v>0</v>
      </c>
      <c r="AA14" s="1868">
        <f t="shared" si="5"/>
        <v>0</v>
      </c>
      <c r="AB14" s="1869" t="str">
        <f t="shared" si="6"/>
        <v/>
      </c>
      <c r="AC14" s="1188">
        <v>43831</v>
      </c>
      <c r="AD14" s="1580" t="str">
        <f t="shared" si="7"/>
        <v/>
      </c>
      <c r="AE14" s="1581">
        <f t="shared" si="8"/>
        <v>0</v>
      </c>
      <c r="AF14" s="1581">
        <f t="shared" si="9"/>
        <v>0</v>
      </c>
      <c r="AG14" s="1581">
        <f t="shared" si="10"/>
        <v>0</v>
      </c>
      <c r="AH14" s="1581">
        <f t="shared" si="11"/>
        <v>0</v>
      </c>
      <c r="AI14" s="1582">
        <f t="shared" si="12"/>
        <v>0</v>
      </c>
      <c r="AJ14" s="1583">
        <f t="shared" si="13"/>
        <v>1</v>
      </c>
      <c r="AK14" s="1581">
        <f t="shared" si="14"/>
        <v>0</v>
      </c>
      <c r="AL14" s="1584" t="e">
        <f t="shared" si="15"/>
        <v>#DIV/0!</v>
      </c>
      <c r="AM14" s="1188"/>
      <c r="AN14" s="1585">
        <f t="shared" si="16"/>
        <v>0</v>
      </c>
      <c r="AO14" s="1583">
        <f t="shared" si="17"/>
        <v>0</v>
      </c>
      <c r="AP14" s="1583">
        <f t="shared" si="18"/>
        <v>0</v>
      </c>
      <c r="AQ14" s="1583">
        <f t="shared" si="19"/>
        <v>0</v>
      </c>
      <c r="AR14" s="1586">
        <f t="shared" si="20"/>
        <v>0</v>
      </c>
      <c r="AT14" s="1587">
        <f t="shared" si="21"/>
        <v>0</v>
      </c>
      <c r="AU14" s="1583">
        <f t="shared" si="22"/>
        <v>0</v>
      </c>
      <c r="AV14" s="1583">
        <f t="shared" si="23"/>
        <v>0</v>
      </c>
      <c r="AW14" s="1583">
        <f t="shared" si="24"/>
        <v>0</v>
      </c>
      <c r="AX14" s="1583">
        <f t="shared" si="25"/>
        <v>0</v>
      </c>
      <c r="AY14" s="1588">
        <f t="shared" si="26"/>
        <v>0</v>
      </c>
      <c r="AZ14" s="1189"/>
      <c r="BA14" s="1587">
        <f t="shared" si="27"/>
        <v>0</v>
      </c>
      <c r="BB14" s="1583">
        <f t="shared" si="28"/>
        <v>0</v>
      </c>
      <c r="BC14" s="1583">
        <f t="shared" si="29"/>
        <v>0</v>
      </c>
      <c r="BD14" s="1583">
        <f t="shared" si="30"/>
        <v>0</v>
      </c>
      <c r="BE14" s="1588">
        <f t="shared" si="31"/>
        <v>0</v>
      </c>
      <c r="BG14" s="1581">
        <f t="shared" si="32"/>
        <v>43101</v>
      </c>
      <c r="BH14" s="1581">
        <f t="shared" si="33"/>
        <v>43101</v>
      </c>
      <c r="BI14" s="1581">
        <f t="shared" si="34"/>
        <v>43101</v>
      </c>
      <c r="BJ14" s="1581">
        <f t="shared" si="35"/>
        <v>0</v>
      </c>
      <c r="BL14" s="1585">
        <f t="shared" si="36"/>
        <v>0</v>
      </c>
      <c r="BM14" s="1581">
        <f t="shared" si="37"/>
        <v>0</v>
      </c>
      <c r="BN14" s="1581">
        <f t="shared" si="38"/>
        <v>0</v>
      </c>
      <c r="BO14" s="1589">
        <f t="shared" si="39"/>
        <v>0</v>
      </c>
      <c r="BP14" s="1514"/>
      <c r="BQ14" s="3229"/>
    </row>
    <row r="15" spans="1:69" ht="30" customHeight="1">
      <c r="A15" s="1577"/>
      <c r="B15" s="1577"/>
      <c r="C15" s="1603"/>
      <c r="D15" s="1578"/>
      <c r="E15" s="1863"/>
      <c r="F15" s="1864"/>
      <c r="G15" s="1865">
        <f t="shared" si="0"/>
        <v>0</v>
      </c>
      <c r="H15" s="1864"/>
      <c r="I15" s="1866"/>
      <c r="J15" s="1864"/>
      <c r="K15" s="1867">
        <f t="shared" si="1"/>
        <v>0</v>
      </c>
      <c r="L15" s="1864"/>
      <c r="M15" s="1866"/>
      <c r="N15" s="1863"/>
      <c r="O15" s="1864"/>
      <c r="P15" s="1867">
        <f t="shared" si="2"/>
        <v>0</v>
      </c>
      <c r="Q15" s="1864"/>
      <c r="R15" s="1866"/>
      <c r="S15" s="1863"/>
      <c r="T15" s="1864"/>
      <c r="U15" s="1867">
        <f t="shared" si="3"/>
        <v>0</v>
      </c>
      <c r="V15" s="1864"/>
      <c r="W15" s="1866"/>
      <c r="X15" s="1863"/>
      <c r="Y15" s="1864"/>
      <c r="Z15" s="1867">
        <f t="shared" si="4"/>
        <v>0</v>
      </c>
      <c r="AA15" s="1868">
        <f t="shared" si="5"/>
        <v>0</v>
      </c>
      <c r="AB15" s="1869" t="str">
        <f t="shared" si="6"/>
        <v/>
      </c>
      <c r="AC15" s="1188">
        <v>44197</v>
      </c>
      <c r="AD15" s="1580" t="str">
        <f t="shared" si="7"/>
        <v/>
      </c>
      <c r="AE15" s="1581">
        <f t="shared" si="8"/>
        <v>0</v>
      </c>
      <c r="AF15" s="1581">
        <f t="shared" si="9"/>
        <v>0</v>
      </c>
      <c r="AG15" s="1581">
        <f t="shared" si="10"/>
        <v>0</v>
      </c>
      <c r="AH15" s="1581">
        <f t="shared" si="11"/>
        <v>0</v>
      </c>
      <c r="AI15" s="1582">
        <f t="shared" si="12"/>
        <v>0</v>
      </c>
      <c r="AJ15" s="1583">
        <f t="shared" si="13"/>
        <v>1</v>
      </c>
      <c r="AK15" s="1581">
        <f t="shared" si="14"/>
        <v>0</v>
      </c>
      <c r="AL15" s="1584" t="e">
        <f t="shared" si="15"/>
        <v>#DIV/0!</v>
      </c>
      <c r="AM15" s="1188"/>
      <c r="AN15" s="1585">
        <f t="shared" si="16"/>
        <v>0</v>
      </c>
      <c r="AO15" s="1583">
        <f t="shared" si="17"/>
        <v>0</v>
      </c>
      <c r="AP15" s="1583">
        <f t="shared" si="18"/>
        <v>0</v>
      </c>
      <c r="AQ15" s="1583">
        <f t="shared" si="19"/>
        <v>0</v>
      </c>
      <c r="AR15" s="1586">
        <f t="shared" si="20"/>
        <v>0</v>
      </c>
      <c r="AT15" s="1587">
        <f t="shared" si="21"/>
        <v>0</v>
      </c>
      <c r="AU15" s="1583">
        <f t="shared" si="22"/>
        <v>0</v>
      </c>
      <c r="AV15" s="1583">
        <f t="shared" si="23"/>
        <v>0</v>
      </c>
      <c r="AW15" s="1583">
        <f t="shared" si="24"/>
        <v>0</v>
      </c>
      <c r="AX15" s="1583">
        <f t="shared" si="25"/>
        <v>0</v>
      </c>
      <c r="AY15" s="1588">
        <f t="shared" si="26"/>
        <v>0</v>
      </c>
      <c r="AZ15" s="1189"/>
      <c r="BA15" s="1587">
        <f t="shared" si="27"/>
        <v>0</v>
      </c>
      <c r="BB15" s="1583">
        <f t="shared" si="28"/>
        <v>0</v>
      </c>
      <c r="BC15" s="1583">
        <f t="shared" si="29"/>
        <v>0</v>
      </c>
      <c r="BD15" s="1583">
        <f t="shared" si="30"/>
        <v>0</v>
      </c>
      <c r="BE15" s="1588">
        <f t="shared" si="31"/>
        <v>0</v>
      </c>
      <c r="BG15" s="1581">
        <f t="shared" si="32"/>
        <v>43101</v>
      </c>
      <c r="BH15" s="1581">
        <f t="shared" si="33"/>
        <v>43101</v>
      </c>
      <c r="BI15" s="1581">
        <f t="shared" si="34"/>
        <v>43101</v>
      </c>
      <c r="BJ15" s="1581">
        <f t="shared" si="35"/>
        <v>0</v>
      </c>
      <c r="BL15" s="1585">
        <f t="shared" si="36"/>
        <v>0</v>
      </c>
      <c r="BM15" s="1581">
        <f t="shared" si="37"/>
        <v>0</v>
      </c>
      <c r="BN15" s="1581">
        <f t="shared" si="38"/>
        <v>0</v>
      </c>
      <c r="BO15" s="1589">
        <f t="shared" si="39"/>
        <v>0</v>
      </c>
      <c r="BP15" s="1514"/>
      <c r="BQ15" s="1590" t="s">
        <v>1497</v>
      </c>
    </row>
    <row r="16" spans="1:69" ht="30" customHeight="1">
      <c r="A16" s="1577"/>
      <c r="B16" s="1577"/>
      <c r="C16" s="1603"/>
      <c r="D16" s="1578"/>
      <c r="E16" s="1863"/>
      <c r="F16" s="1864"/>
      <c r="G16" s="1865">
        <f t="shared" si="0"/>
        <v>0</v>
      </c>
      <c r="H16" s="1864"/>
      <c r="I16" s="1866"/>
      <c r="J16" s="1864"/>
      <c r="K16" s="1867">
        <f t="shared" si="1"/>
        <v>0</v>
      </c>
      <c r="L16" s="1864"/>
      <c r="M16" s="1866"/>
      <c r="N16" s="1863"/>
      <c r="O16" s="1864"/>
      <c r="P16" s="1867">
        <f t="shared" si="2"/>
        <v>0</v>
      </c>
      <c r="Q16" s="1864"/>
      <c r="R16" s="1866"/>
      <c r="S16" s="1863"/>
      <c r="T16" s="1864"/>
      <c r="U16" s="1867">
        <f t="shared" si="3"/>
        <v>0</v>
      </c>
      <c r="V16" s="1864"/>
      <c r="W16" s="1866"/>
      <c r="X16" s="1863"/>
      <c r="Y16" s="1864"/>
      <c r="Z16" s="1867">
        <f t="shared" si="4"/>
        <v>0</v>
      </c>
      <c r="AA16" s="1868">
        <f t="shared" si="5"/>
        <v>0</v>
      </c>
      <c r="AB16" s="1869" t="str">
        <f t="shared" si="6"/>
        <v/>
      </c>
      <c r="AC16" s="690"/>
      <c r="AD16" s="1580" t="str">
        <f t="shared" si="7"/>
        <v/>
      </c>
      <c r="AE16" s="1581">
        <f t="shared" si="8"/>
        <v>0</v>
      </c>
      <c r="AF16" s="1581">
        <f t="shared" si="9"/>
        <v>0</v>
      </c>
      <c r="AG16" s="1581">
        <f t="shared" si="10"/>
        <v>0</v>
      </c>
      <c r="AH16" s="1581">
        <f t="shared" si="11"/>
        <v>0</v>
      </c>
      <c r="AI16" s="1582">
        <f t="shared" si="12"/>
        <v>0</v>
      </c>
      <c r="AJ16" s="1583">
        <f t="shared" si="13"/>
        <v>1</v>
      </c>
      <c r="AK16" s="1581">
        <f t="shared" si="14"/>
        <v>0</v>
      </c>
      <c r="AL16" s="1584" t="e">
        <f t="shared" si="15"/>
        <v>#DIV/0!</v>
      </c>
      <c r="AM16" s="1188"/>
      <c r="AN16" s="1585">
        <f t="shared" si="16"/>
        <v>0</v>
      </c>
      <c r="AO16" s="1583">
        <f t="shared" si="17"/>
        <v>0</v>
      </c>
      <c r="AP16" s="1583">
        <f t="shared" si="18"/>
        <v>0</v>
      </c>
      <c r="AQ16" s="1583">
        <f t="shared" si="19"/>
        <v>0</v>
      </c>
      <c r="AR16" s="1586">
        <f t="shared" si="20"/>
        <v>0</v>
      </c>
      <c r="AT16" s="1587">
        <f t="shared" si="21"/>
        <v>0</v>
      </c>
      <c r="AU16" s="1583">
        <f t="shared" si="22"/>
        <v>0</v>
      </c>
      <c r="AV16" s="1583">
        <f t="shared" si="23"/>
        <v>0</v>
      </c>
      <c r="AW16" s="1583">
        <f t="shared" si="24"/>
        <v>0</v>
      </c>
      <c r="AX16" s="1583">
        <f t="shared" si="25"/>
        <v>0</v>
      </c>
      <c r="AY16" s="1588">
        <f t="shared" si="26"/>
        <v>0</v>
      </c>
      <c r="AZ16" s="1189"/>
      <c r="BA16" s="1587">
        <f t="shared" si="27"/>
        <v>0</v>
      </c>
      <c r="BB16" s="1583">
        <f t="shared" si="28"/>
        <v>0</v>
      </c>
      <c r="BC16" s="1583">
        <f t="shared" si="29"/>
        <v>0</v>
      </c>
      <c r="BD16" s="1583">
        <f t="shared" si="30"/>
        <v>0</v>
      </c>
      <c r="BE16" s="1588">
        <f t="shared" si="31"/>
        <v>0</v>
      </c>
      <c r="BG16" s="1581">
        <f t="shared" si="32"/>
        <v>43101</v>
      </c>
      <c r="BH16" s="1581">
        <f t="shared" si="33"/>
        <v>43101</v>
      </c>
      <c r="BI16" s="1581">
        <f t="shared" si="34"/>
        <v>43101</v>
      </c>
      <c r="BJ16" s="1581">
        <f t="shared" si="35"/>
        <v>0</v>
      </c>
      <c r="BL16" s="1585">
        <f t="shared" si="36"/>
        <v>0</v>
      </c>
      <c r="BM16" s="1581">
        <f t="shared" si="37"/>
        <v>0</v>
      </c>
      <c r="BN16" s="1581">
        <f t="shared" si="38"/>
        <v>0</v>
      </c>
      <c r="BO16" s="1589">
        <f t="shared" si="39"/>
        <v>0</v>
      </c>
      <c r="BP16" s="1514"/>
      <c r="BQ16" s="1590" t="s">
        <v>1498</v>
      </c>
    </row>
    <row r="17" spans="1:69" ht="30" customHeight="1">
      <c r="A17" s="1577"/>
      <c r="B17" s="1577"/>
      <c r="C17" s="1603"/>
      <c r="D17" s="1578"/>
      <c r="E17" s="1863"/>
      <c r="F17" s="1864"/>
      <c r="G17" s="1865">
        <f t="shared" si="0"/>
        <v>0</v>
      </c>
      <c r="H17" s="1864"/>
      <c r="I17" s="1866"/>
      <c r="J17" s="1864"/>
      <c r="K17" s="1867">
        <f t="shared" si="1"/>
        <v>0</v>
      </c>
      <c r="L17" s="1864"/>
      <c r="M17" s="1866"/>
      <c r="N17" s="1863"/>
      <c r="O17" s="1864"/>
      <c r="P17" s="1867">
        <f t="shared" si="2"/>
        <v>0</v>
      </c>
      <c r="Q17" s="1864"/>
      <c r="R17" s="1866"/>
      <c r="S17" s="1863"/>
      <c r="T17" s="1864"/>
      <c r="U17" s="1867">
        <f t="shared" si="3"/>
        <v>0</v>
      </c>
      <c r="V17" s="1864"/>
      <c r="W17" s="1866"/>
      <c r="X17" s="1863"/>
      <c r="Y17" s="1864"/>
      <c r="Z17" s="1867">
        <f t="shared" si="4"/>
        <v>0</v>
      </c>
      <c r="AA17" s="1868">
        <f t="shared" si="5"/>
        <v>0</v>
      </c>
      <c r="AB17" s="1869" t="str">
        <f t="shared" si="6"/>
        <v/>
      </c>
      <c r="AC17" s="690"/>
      <c r="AD17" s="1580" t="str">
        <f t="shared" si="7"/>
        <v/>
      </c>
      <c r="AE17" s="1581">
        <f t="shared" si="8"/>
        <v>0</v>
      </c>
      <c r="AF17" s="1581">
        <f t="shared" si="9"/>
        <v>0</v>
      </c>
      <c r="AG17" s="1581">
        <f t="shared" si="10"/>
        <v>0</v>
      </c>
      <c r="AH17" s="1581">
        <f t="shared" si="11"/>
        <v>0</v>
      </c>
      <c r="AI17" s="1582">
        <f t="shared" si="12"/>
        <v>0</v>
      </c>
      <c r="AJ17" s="1583">
        <f t="shared" si="13"/>
        <v>1</v>
      </c>
      <c r="AK17" s="1581">
        <f t="shared" si="14"/>
        <v>0</v>
      </c>
      <c r="AL17" s="1584" t="e">
        <f t="shared" si="15"/>
        <v>#DIV/0!</v>
      </c>
      <c r="AM17" s="1188"/>
      <c r="AN17" s="1585">
        <f t="shared" si="16"/>
        <v>0</v>
      </c>
      <c r="AO17" s="1583">
        <f t="shared" si="17"/>
        <v>0</v>
      </c>
      <c r="AP17" s="1583">
        <f t="shared" si="18"/>
        <v>0</v>
      </c>
      <c r="AQ17" s="1583">
        <f t="shared" si="19"/>
        <v>0</v>
      </c>
      <c r="AR17" s="1586">
        <f t="shared" si="20"/>
        <v>0</v>
      </c>
      <c r="AT17" s="1587">
        <f t="shared" si="21"/>
        <v>0</v>
      </c>
      <c r="AU17" s="1583">
        <f t="shared" si="22"/>
        <v>0</v>
      </c>
      <c r="AV17" s="1583">
        <f t="shared" si="23"/>
        <v>0</v>
      </c>
      <c r="AW17" s="1583">
        <f t="shared" si="24"/>
        <v>0</v>
      </c>
      <c r="AX17" s="1583">
        <f t="shared" si="25"/>
        <v>0</v>
      </c>
      <c r="AY17" s="1588">
        <f t="shared" si="26"/>
        <v>0</v>
      </c>
      <c r="AZ17" s="1189"/>
      <c r="BA17" s="1587">
        <f t="shared" si="27"/>
        <v>0</v>
      </c>
      <c r="BB17" s="1583">
        <f t="shared" si="28"/>
        <v>0</v>
      </c>
      <c r="BC17" s="1583">
        <f t="shared" si="29"/>
        <v>0</v>
      </c>
      <c r="BD17" s="1583">
        <f t="shared" si="30"/>
        <v>0</v>
      </c>
      <c r="BE17" s="1588">
        <f t="shared" si="31"/>
        <v>0</v>
      </c>
      <c r="BG17" s="1581">
        <f t="shared" si="32"/>
        <v>43101</v>
      </c>
      <c r="BH17" s="1581">
        <f t="shared" si="33"/>
        <v>43101</v>
      </c>
      <c r="BI17" s="1581">
        <f t="shared" si="34"/>
        <v>43101</v>
      </c>
      <c r="BJ17" s="1581">
        <f t="shared" si="35"/>
        <v>0</v>
      </c>
      <c r="BL17" s="1585">
        <f t="shared" si="36"/>
        <v>0</v>
      </c>
      <c r="BM17" s="1581">
        <f t="shared" si="37"/>
        <v>0</v>
      </c>
      <c r="BN17" s="1581">
        <f t="shared" si="38"/>
        <v>0</v>
      </c>
      <c r="BO17" s="1589">
        <f t="shared" si="39"/>
        <v>0</v>
      </c>
      <c r="BP17" s="1514"/>
      <c r="BQ17" s="3229" t="s">
        <v>1499</v>
      </c>
    </row>
    <row r="18" spans="1:69" ht="30" customHeight="1">
      <c r="A18" s="1577"/>
      <c r="B18" s="1577"/>
      <c r="C18" s="1603"/>
      <c r="D18" s="1578"/>
      <c r="E18" s="1863"/>
      <c r="F18" s="1864"/>
      <c r="G18" s="1865">
        <f t="shared" si="0"/>
        <v>0</v>
      </c>
      <c r="H18" s="1864"/>
      <c r="I18" s="1866"/>
      <c r="J18" s="1864"/>
      <c r="K18" s="1867">
        <f t="shared" si="1"/>
        <v>0</v>
      </c>
      <c r="L18" s="1864"/>
      <c r="M18" s="1866"/>
      <c r="N18" s="1863"/>
      <c r="O18" s="1864"/>
      <c r="P18" s="1867">
        <f t="shared" si="2"/>
        <v>0</v>
      </c>
      <c r="Q18" s="1864"/>
      <c r="R18" s="1866"/>
      <c r="S18" s="1863"/>
      <c r="T18" s="1864"/>
      <c r="U18" s="1867">
        <f t="shared" si="3"/>
        <v>0</v>
      </c>
      <c r="V18" s="1864"/>
      <c r="W18" s="1866"/>
      <c r="X18" s="1863"/>
      <c r="Y18" s="1864"/>
      <c r="Z18" s="1867">
        <f t="shared" si="4"/>
        <v>0</v>
      </c>
      <c r="AA18" s="1868">
        <f t="shared" si="5"/>
        <v>0</v>
      </c>
      <c r="AB18" s="1869" t="str">
        <f t="shared" si="6"/>
        <v/>
      </c>
      <c r="AC18" s="690"/>
      <c r="AD18" s="1580" t="str">
        <f t="shared" si="7"/>
        <v/>
      </c>
      <c r="AE18" s="1581">
        <f t="shared" si="8"/>
        <v>0</v>
      </c>
      <c r="AF18" s="1581">
        <f t="shared" si="9"/>
        <v>0</v>
      </c>
      <c r="AG18" s="1581">
        <f t="shared" si="10"/>
        <v>0</v>
      </c>
      <c r="AH18" s="1581">
        <f t="shared" si="11"/>
        <v>0</v>
      </c>
      <c r="AI18" s="1582">
        <f t="shared" si="12"/>
        <v>0</v>
      </c>
      <c r="AJ18" s="1583">
        <f t="shared" si="13"/>
        <v>1</v>
      </c>
      <c r="AK18" s="1581">
        <f t="shared" si="14"/>
        <v>0</v>
      </c>
      <c r="AL18" s="1584" t="e">
        <f t="shared" si="15"/>
        <v>#DIV/0!</v>
      </c>
      <c r="AM18" s="1188"/>
      <c r="AN18" s="1585">
        <f t="shared" si="16"/>
        <v>0</v>
      </c>
      <c r="AO18" s="1583">
        <f t="shared" si="17"/>
        <v>0</v>
      </c>
      <c r="AP18" s="1583">
        <f t="shared" si="18"/>
        <v>0</v>
      </c>
      <c r="AQ18" s="1583">
        <f t="shared" si="19"/>
        <v>0</v>
      </c>
      <c r="AR18" s="1586">
        <f t="shared" si="20"/>
        <v>0</v>
      </c>
      <c r="AT18" s="1587">
        <f t="shared" si="21"/>
        <v>0</v>
      </c>
      <c r="AU18" s="1583">
        <f t="shared" si="22"/>
        <v>0</v>
      </c>
      <c r="AV18" s="1583">
        <f t="shared" si="23"/>
        <v>0</v>
      </c>
      <c r="AW18" s="1583">
        <f t="shared" si="24"/>
        <v>0</v>
      </c>
      <c r="AX18" s="1583">
        <f t="shared" si="25"/>
        <v>0</v>
      </c>
      <c r="AY18" s="1588">
        <f t="shared" si="26"/>
        <v>0</v>
      </c>
      <c r="AZ18" s="1189"/>
      <c r="BA18" s="1587">
        <f t="shared" si="27"/>
        <v>0</v>
      </c>
      <c r="BB18" s="1583">
        <f t="shared" si="28"/>
        <v>0</v>
      </c>
      <c r="BC18" s="1583">
        <f t="shared" si="29"/>
        <v>0</v>
      </c>
      <c r="BD18" s="1583">
        <f t="shared" si="30"/>
        <v>0</v>
      </c>
      <c r="BE18" s="1588">
        <f t="shared" si="31"/>
        <v>0</v>
      </c>
      <c r="BG18" s="1581">
        <f t="shared" si="32"/>
        <v>43101</v>
      </c>
      <c r="BH18" s="1581">
        <f t="shared" si="33"/>
        <v>43101</v>
      </c>
      <c r="BI18" s="1581">
        <f t="shared" si="34"/>
        <v>43101</v>
      </c>
      <c r="BJ18" s="1581">
        <f t="shared" si="35"/>
        <v>0</v>
      </c>
      <c r="BL18" s="1585">
        <f t="shared" si="36"/>
        <v>0</v>
      </c>
      <c r="BM18" s="1581">
        <f t="shared" si="37"/>
        <v>0</v>
      </c>
      <c r="BN18" s="1581">
        <f t="shared" si="38"/>
        <v>0</v>
      </c>
      <c r="BO18" s="1589">
        <f t="shared" si="39"/>
        <v>0</v>
      </c>
      <c r="BP18" s="1514"/>
      <c r="BQ18" s="3229"/>
    </row>
    <row r="19" spans="1:69" ht="30" customHeight="1">
      <c r="A19" s="1577"/>
      <c r="B19" s="1577"/>
      <c r="C19" s="1603"/>
      <c r="D19" s="1578"/>
      <c r="E19" s="1863"/>
      <c r="F19" s="1864"/>
      <c r="G19" s="1865">
        <f t="shared" si="0"/>
        <v>0</v>
      </c>
      <c r="H19" s="1864"/>
      <c r="I19" s="1866"/>
      <c r="J19" s="1864"/>
      <c r="K19" s="1867">
        <f t="shared" si="1"/>
        <v>0</v>
      </c>
      <c r="L19" s="1864"/>
      <c r="M19" s="1866"/>
      <c r="N19" s="1863"/>
      <c r="O19" s="1864"/>
      <c r="P19" s="1867">
        <f t="shared" si="2"/>
        <v>0</v>
      </c>
      <c r="Q19" s="1864"/>
      <c r="R19" s="1866"/>
      <c r="S19" s="1863"/>
      <c r="T19" s="1864"/>
      <c r="U19" s="1867">
        <f t="shared" si="3"/>
        <v>0</v>
      </c>
      <c r="V19" s="1864"/>
      <c r="W19" s="1866"/>
      <c r="X19" s="1863"/>
      <c r="Y19" s="1864"/>
      <c r="Z19" s="1867">
        <f t="shared" si="4"/>
        <v>0</v>
      </c>
      <c r="AA19" s="1868">
        <f t="shared" si="5"/>
        <v>0</v>
      </c>
      <c r="AB19" s="1869" t="str">
        <f t="shared" si="6"/>
        <v/>
      </c>
      <c r="AC19" s="690"/>
      <c r="AD19" s="1580" t="str">
        <f t="shared" si="7"/>
        <v/>
      </c>
      <c r="AE19" s="1581">
        <f t="shared" si="8"/>
        <v>0</v>
      </c>
      <c r="AF19" s="1581">
        <f t="shared" si="9"/>
        <v>0</v>
      </c>
      <c r="AG19" s="1581">
        <f t="shared" si="10"/>
        <v>0</v>
      </c>
      <c r="AH19" s="1581">
        <f t="shared" si="11"/>
        <v>0</v>
      </c>
      <c r="AI19" s="1582">
        <f t="shared" si="12"/>
        <v>0</v>
      </c>
      <c r="AJ19" s="1583">
        <f t="shared" si="13"/>
        <v>1</v>
      </c>
      <c r="AK19" s="1581">
        <f t="shared" si="14"/>
        <v>0</v>
      </c>
      <c r="AL19" s="1584" t="e">
        <f t="shared" si="15"/>
        <v>#DIV/0!</v>
      </c>
      <c r="AM19" s="1188"/>
      <c r="AN19" s="1585">
        <f t="shared" si="16"/>
        <v>0</v>
      </c>
      <c r="AO19" s="1583">
        <f t="shared" si="17"/>
        <v>0</v>
      </c>
      <c r="AP19" s="1583">
        <f t="shared" si="18"/>
        <v>0</v>
      </c>
      <c r="AQ19" s="1583">
        <f t="shared" si="19"/>
        <v>0</v>
      </c>
      <c r="AR19" s="1586">
        <f t="shared" si="20"/>
        <v>0</v>
      </c>
      <c r="AT19" s="1587">
        <f t="shared" si="21"/>
        <v>0</v>
      </c>
      <c r="AU19" s="1583">
        <f t="shared" si="22"/>
        <v>0</v>
      </c>
      <c r="AV19" s="1583">
        <f t="shared" si="23"/>
        <v>0</v>
      </c>
      <c r="AW19" s="1583">
        <f t="shared" si="24"/>
        <v>0</v>
      </c>
      <c r="AX19" s="1583">
        <f t="shared" si="25"/>
        <v>0</v>
      </c>
      <c r="AY19" s="1588">
        <f t="shared" si="26"/>
        <v>0</v>
      </c>
      <c r="AZ19" s="1189"/>
      <c r="BA19" s="1587">
        <f t="shared" si="27"/>
        <v>0</v>
      </c>
      <c r="BB19" s="1583">
        <f t="shared" si="28"/>
        <v>0</v>
      </c>
      <c r="BC19" s="1583">
        <f t="shared" si="29"/>
        <v>0</v>
      </c>
      <c r="BD19" s="1583">
        <f t="shared" si="30"/>
        <v>0</v>
      </c>
      <c r="BE19" s="1588">
        <f t="shared" si="31"/>
        <v>0</v>
      </c>
      <c r="BG19" s="1581">
        <f t="shared" si="32"/>
        <v>43101</v>
      </c>
      <c r="BH19" s="1581">
        <f t="shared" si="33"/>
        <v>43101</v>
      </c>
      <c r="BI19" s="1581">
        <f t="shared" si="34"/>
        <v>43101</v>
      </c>
      <c r="BJ19" s="1581">
        <f t="shared" si="35"/>
        <v>0</v>
      </c>
      <c r="BL19" s="1585">
        <f t="shared" si="36"/>
        <v>0</v>
      </c>
      <c r="BM19" s="1581">
        <f t="shared" si="37"/>
        <v>0</v>
      </c>
      <c r="BN19" s="1581">
        <f t="shared" si="38"/>
        <v>0</v>
      </c>
      <c r="BO19" s="1589">
        <f t="shared" si="39"/>
        <v>0</v>
      </c>
      <c r="BP19" s="1514"/>
      <c r="BQ19" s="1590" t="s">
        <v>1500</v>
      </c>
    </row>
    <row r="20" spans="1:69" ht="30" customHeight="1">
      <c r="A20" s="1577"/>
      <c r="B20" s="1577"/>
      <c r="C20" s="1603"/>
      <c r="D20" s="1578"/>
      <c r="E20" s="1863"/>
      <c r="F20" s="1864"/>
      <c r="G20" s="1865">
        <f t="shared" si="0"/>
        <v>0</v>
      </c>
      <c r="H20" s="1864"/>
      <c r="I20" s="1866"/>
      <c r="J20" s="1864"/>
      <c r="K20" s="1867">
        <f t="shared" si="1"/>
        <v>0</v>
      </c>
      <c r="L20" s="1864"/>
      <c r="M20" s="1866"/>
      <c r="N20" s="1863"/>
      <c r="O20" s="1864"/>
      <c r="P20" s="1867">
        <f t="shared" si="2"/>
        <v>0</v>
      </c>
      <c r="Q20" s="1864"/>
      <c r="R20" s="1866"/>
      <c r="S20" s="1863"/>
      <c r="T20" s="1864"/>
      <c r="U20" s="1867">
        <f t="shared" si="3"/>
        <v>0</v>
      </c>
      <c r="V20" s="1864"/>
      <c r="W20" s="1866"/>
      <c r="X20" s="1863"/>
      <c r="Y20" s="1864"/>
      <c r="Z20" s="1867">
        <f t="shared" si="4"/>
        <v>0</v>
      </c>
      <c r="AA20" s="1868">
        <f t="shared" si="5"/>
        <v>0</v>
      </c>
      <c r="AB20" s="1869" t="str">
        <f t="shared" si="6"/>
        <v/>
      </c>
      <c r="AC20" s="690"/>
      <c r="AD20" s="1580" t="str">
        <f t="shared" si="7"/>
        <v/>
      </c>
      <c r="AE20" s="1581">
        <f t="shared" si="8"/>
        <v>0</v>
      </c>
      <c r="AF20" s="1581">
        <f t="shared" si="9"/>
        <v>0</v>
      </c>
      <c r="AG20" s="1581">
        <f t="shared" si="10"/>
        <v>0</v>
      </c>
      <c r="AH20" s="1581">
        <f t="shared" si="11"/>
        <v>0</v>
      </c>
      <c r="AI20" s="1582">
        <f t="shared" si="12"/>
        <v>0</v>
      </c>
      <c r="AJ20" s="1583">
        <f t="shared" si="13"/>
        <v>1</v>
      </c>
      <c r="AK20" s="1581">
        <f t="shared" si="14"/>
        <v>0</v>
      </c>
      <c r="AL20" s="1584" t="e">
        <f t="shared" si="15"/>
        <v>#DIV/0!</v>
      </c>
      <c r="AM20" s="1188"/>
      <c r="AN20" s="1585">
        <f t="shared" si="16"/>
        <v>0</v>
      </c>
      <c r="AO20" s="1583">
        <f t="shared" si="17"/>
        <v>0</v>
      </c>
      <c r="AP20" s="1583">
        <f t="shared" si="18"/>
        <v>0</v>
      </c>
      <c r="AQ20" s="1583">
        <f t="shared" si="19"/>
        <v>0</v>
      </c>
      <c r="AR20" s="1586">
        <f t="shared" si="20"/>
        <v>0</v>
      </c>
      <c r="AT20" s="1587">
        <f t="shared" si="21"/>
        <v>0</v>
      </c>
      <c r="AU20" s="1583">
        <f t="shared" si="22"/>
        <v>0</v>
      </c>
      <c r="AV20" s="1583">
        <f t="shared" si="23"/>
        <v>0</v>
      </c>
      <c r="AW20" s="1583">
        <f t="shared" si="24"/>
        <v>0</v>
      </c>
      <c r="AX20" s="1583">
        <f t="shared" si="25"/>
        <v>0</v>
      </c>
      <c r="AY20" s="1588">
        <f t="shared" si="26"/>
        <v>0</v>
      </c>
      <c r="AZ20" s="1189"/>
      <c r="BA20" s="1587">
        <f t="shared" si="27"/>
        <v>0</v>
      </c>
      <c r="BB20" s="1583">
        <f t="shared" si="28"/>
        <v>0</v>
      </c>
      <c r="BC20" s="1583">
        <f t="shared" si="29"/>
        <v>0</v>
      </c>
      <c r="BD20" s="1583">
        <f t="shared" si="30"/>
        <v>0</v>
      </c>
      <c r="BE20" s="1588">
        <f t="shared" si="31"/>
        <v>0</v>
      </c>
      <c r="BG20" s="1581">
        <f t="shared" si="32"/>
        <v>43101</v>
      </c>
      <c r="BH20" s="1581">
        <f t="shared" si="33"/>
        <v>43101</v>
      </c>
      <c r="BI20" s="1581">
        <f t="shared" si="34"/>
        <v>43101</v>
      </c>
      <c r="BJ20" s="1581">
        <f t="shared" si="35"/>
        <v>0</v>
      </c>
      <c r="BL20" s="1585">
        <f t="shared" si="36"/>
        <v>0</v>
      </c>
      <c r="BM20" s="1581">
        <f t="shared" si="37"/>
        <v>0</v>
      </c>
      <c r="BN20" s="1581">
        <f t="shared" si="38"/>
        <v>0</v>
      </c>
      <c r="BO20" s="1589">
        <f t="shared" si="39"/>
        <v>0</v>
      </c>
      <c r="BP20" s="1514"/>
      <c r="BQ20" s="3229" t="s">
        <v>1501</v>
      </c>
    </row>
    <row r="21" spans="1:69" ht="30" customHeight="1">
      <c r="A21" s="1577"/>
      <c r="B21" s="1577"/>
      <c r="C21" s="1603"/>
      <c r="D21" s="1578"/>
      <c r="E21" s="1863"/>
      <c r="F21" s="1864"/>
      <c r="G21" s="1865">
        <f t="shared" si="0"/>
        <v>0</v>
      </c>
      <c r="H21" s="1864"/>
      <c r="I21" s="1866"/>
      <c r="J21" s="1864"/>
      <c r="K21" s="1867">
        <f t="shared" si="1"/>
        <v>0</v>
      </c>
      <c r="L21" s="1864"/>
      <c r="M21" s="1866"/>
      <c r="N21" s="1863"/>
      <c r="O21" s="1864"/>
      <c r="P21" s="1867">
        <f t="shared" si="2"/>
        <v>0</v>
      </c>
      <c r="Q21" s="1864"/>
      <c r="R21" s="1866"/>
      <c r="S21" s="1863"/>
      <c r="T21" s="1864"/>
      <c r="U21" s="1867">
        <f t="shared" si="3"/>
        <v>0</v>
      </c>
      <c r="V21" s="1864"/>
      <c r="W21" s="1866"/>
      <c r="X21" s="1863"/>
      <c r="Y21" s="1864"/>
      <c r="Z21" s="1867">
        <f t="shared" si="4"/>
        <v>0</v>
      </c>
      <c r="AA21" s="1868">
        <f t="shared" si="5"/>
        <v>0</v>
      </c>
      <c r="AB21" s="1869" t="str">
        <f t="shared" si="6"/>
        <v/>
      </c>
      <c r="AC21" s="690"/>
      <c r="AD21" s="1580" t="str">
        <f t="shared" si="7"/>
        <v/>
      </c>
      <c r="AE21" s="1581">
        <f t="shared" si="8"/>
        <v>0</v>
      </c>
      <c r="AF21" s="1581">
        <f t="shared" si="9"/>
        <v>0</v>
      </c>
      <c r="AG21" s="1581">
        <f t="shared" si="10"/>
        <v>0</v>
      </c>
      <c r="AH21" s="1581">
        <f t="shared" si="11"/>
        <v>0</v>
      </c>
      <c r="AI21" s="1582">
        <f t="shared" si="12"/>
        <v>0</v>
      </c>
      <c r="AJ21" s="1583">
        <f t="shared" si="13"/>
        <v>1</v>
      </c>
      <c r="AK21" s="1581">
        <f t="shared" si="14"/>
        <v>0</v>
      </c>
      <c r="AL21" s="1584" t="e">
        <f t="shared" si="15"/>
        <v>#DIV/0!</v>
      </c>
      <c r="AM21" s="1188"/>
      <c r="AN21" s="1585">
        <f t="shared" si="16"/>
        <v>0</v>
      </c>
      <c r="AO21" s="1583">
        <f t="shared" si="17"/>
        <v>0</v>
      </c>
      <c r="AP21" s="1583">
        <f t="shared" si="18"/>
        <v>0</v>
      </c>
      <c r="AQ21" s="1583">
        <f t="shared" si="19"/>
        <v>0</v>
      </c>
      <c r="AR21" s="1586">
        <f t="shared" si="20"/>
        <v>0</v>
      </c>
      <c r="AT21" s="1587">
        <f t="shared" si="21"/>
        <v>0</v>
      </c>
      <c r="AU21" s="1583">
        <f t="shared" si="22"/>
        <v>0</v>
      </c>
      <c r="AV21" s="1583">
        <f t="shared" si="23"/>
        <v>0</v>
      </c>
      <c r="AW21" s="1583">
        <f t="shared" si="24"/>
        <v>0</v>
      </c>
      <c r="AX21" s="1583">
        <f t="shared" si="25"/>
        <v>0</v>
      </c>
      <c r="AY21" s="1588">
        <f t="shared" si="26"/>
        <v>0</v>
      </c>
      <c r="AZ21" s="1189"/>
      <c r="BA21" s="1587">
        <f t="shared" si="27"/>
        <v>0</v>
      </c>
      <c r="BB21" s="1583">
        <f t="shared" si="28"/>
        <v>0</v>
      </c>
      <c r="BC21" s="1583">
        <f t="shared" si="29"/>
        <v>0</v>
      </c>
      <c r="BD21" s="1583">
        <f t="shared" si="30"/>
        <v>0</v>
      </c>
      <c r="BE21" s="1588">
        <f t="shared" si="31"/>
        <v>0</v>
      </c>
      <c r="BG21" s="1581">
        <f t="shared" si="32"/>
        <v>43101</v>
      </c>
      <c r="BH21" s="1581">
        <f t="shared" si="33"/>
        <v>43101</v>
      </c>
      <c r="BI21" s="1581">
        <f t="shared" si="34"/>
        <v>43101</v>
      </c>
      <c r="BJ21" s="1581">
        <f t="shared" si="35"/>
        <v>0</v>
      </c>
      <c r="BL21" s="1585">
        <f t="shared" si="36"/>
        <v>0</v>
      </c>
      <c r="BM21" s="1581">
        <f t="shared" si="37"/>
        <v>0</v>
      </c>
      <c r="BN21" s="1581">
        <f t="shared" si="38"/>
        <v>0</v>
      </c>
      <c r="BO21" s="1589">
        <f t="shared" si="39"/>
        <v>0</v>
      </c>
      <c r="BP21" s="1514"/>
      <c r="BQ21" s="3229"/>
    </row>
    <row r="22" spans="1:69" ht="30" customHeight="1">
      <c r="A22" s="1577"/>
      <c r="B22" s="1577"/>
      <c r="C22" s="1603"/>
      <c r="D22" s="1578"/>
      <c r="E22" s="1863"/>
      <c r="F22" s="1864"/>
      <c r="G22" s="1865">
        <f t="shared" si="0"/>
        <v>0</v>
      </c>
      <c r="H22" s="1864"/>
      <c r="I22" s="1866"/>
      <c r="J22" s="1864"/>
      <c r="K22" s="1867">
        <f t="shared" si="1"/>
        <v>0</v>
      </c>
      <c r="L22" s="1864"/>
      <c r="M22" s="1866"/>
      <c r="N22" s="1863"/>
      <c r="O22" s="1864"/>
      <c r="P22" s="1867">
        <f t="shared" si="2"/>
        <v>0</v>
      </c>
      <c r="Q22" s="1864"/>
      <c r="R22" s="1866"/>
      <c r="S22" s="1863"/>
      <c r="T22" s="1864"/>
      <c r="U22" s="1867">
        <f t="shared" si="3"/>
        <v>0</v>
      </c>
      <c r="V22" s="1864"/>
      <c r="W22" s="1866"/>
      <c r="X22" s="1863"/>
      <c r="Y22" s="1864"/>
      <c r="Z22" s="1867">
        <f t="shared" si="4"/>
        <v>0</v>
      </c>
      <c r="AA22" s="1868">
        <f t="shared" si="5"/>
        <v>0</v>
      </c>
      <c r="AB22" s="1869" t="str">
        <f t="shared" si="6"/>
        <v/>
      </c>
      <c r="AC22" s="690"/>
      <c r="AD22" s="1580" t="str">
        <f t="shared" si="7"/>
        <v/>
      </c>
      <c r="AE22" s="1581">
        <f t="shared" si="8"/>
        <v>0</v>
      </c>
      <c r="AF22" s="1581">
        <f t="shared" si="9"/>
        <v>0</v>
      </c>
      <c r="AG22" s="1581">
        <f t="shared" si="10"/>
        <v>0</v>
      </c>
      <c r="AH22" s="1581">
        <f t="shared" si="11"/>
        <v>0</v>
      </c>
      <c r="AI22" s="1582">
        <f t="shared" si="12"/>
        <v>0</v>
      </c>
      <c r="AJ22" s="1583">
        <f t="shared" si="13"/>
        <v>1</v>
      </c>
      <c r="AK22" s="1581">
        <f t="shared" si="14"/>
        <v>0</v>
      </c>
      <c r="AL22" s="1584" t="e">
        <f t="shared" si="15"/>
        <v>#DIV/0!</v>
      </c>
      <c r="AM22" s="1188"/>
      <c r="AN22" s="1585">
        <f t="shared" si="16"/>
        <v>0</v>
      </c>
      <c r="AO22" s="1583">
        <f t="shared" si="17"/>
        <v>0</v>
      </c>
      <c r="AP22" s="1583">
        <f t="shared" si="18"/>
        <v>0</v>
      </c>
      <c r="AQ22" s="1583">
        <f t="shared" si="19"/>
        <v>0</v>
      </c>
      <c r="AR22" s="1586">
        <f t="shared" si="20"/>
        <v>0</v>
      </c>
      <c r="AT22" s="1587">
        <f t="shared" si="21"/>
        <v>0</v>
      </c>
      <c r="AU22" s="1583">
        <f t="shared" si="22"/>
        <v>0</v>
      </c>
      <c r="AV22" s="1583">
        <f t="shared" si="23"/>
        <v>0</v>
      </c>
      <c r="AW22" s="1583">
        <f t="shared" si="24"/>
        <v>0</v>
      </c>
      <c r="AX22" s="1583">
        <f t="shared" si="25"/>
        <v>0</v>
      </c>
      <c r="AY22" s="1588">
        <f t="shared" si="26"/>
        <v>0</v>
      </c>
      <c r="AZ22" s="1189"/>
      <c r="BA22" s="1587">
        <f t="shared" si="27"/>
        <v>0</v>
      </c>
      <c r="BB22" s="1583">
        <f t="shared" si="28"/>
        <v>0</v>
      </c>
      <c r="BC22" s="1583">
        <f t="shared" si="29"/>
        <v>0</v>
      </c>
      <c r="BD22" s="1583">
        <f t="shared" si="30"/>
        <v>0</v>
      </c>
      <c r="BE22" s="1588">
        <f t="shared" si="31"/>
        <v>0</v>
      </c>
      <c r="BG22" s="1581">
        <f t="shared" si="32"/>
        <v>43101</v>
      </c>
      <c r="BH22" s="1581">
        <f t="shared" si="33"/>
        <v>43101</v>
      </c>
      <c r="BI22" s="1581">
        <f t="shared" si="34"/>
        <v>43101</v>
      </c>
      <c r="BJ22" s="1581">
        <f t="shared" si="35"/>
        <v>0</v>
      </c>
      <c r="BL22" s="1585">
        <f t="shared" si="36"/>
        <v>0</v>
      </c>
      <c r="BM22" s="1581">
        <f t="shared" si="37"/>
        <v>0</v>
      </c>
      <c r="BN22" s="1581">
        <f t="shared" si="38"/>
        <v>0</v>
      </c>
      <c r="BO22" s="1589">
        <f t="shared" si="39"/>
        <v>0</v>
      </c>
      <c r="BP22" s="1514"/>
      <c r="BQ22" s="3229" t="s">
        <v>1502</v>
      </c>
    </row>
    <row r="23" spans="1:69" ht="30" customHeight="1">
      <c r="A23" s="1577"/>
      <c r="B23" s="1577"/>
      <c r="C23" s="1603"/>
      <c r="D23" s="1578"/>
      <c r="E23" s="1863"/>
      <c r="F23" s="1864"/>
      <c r="G23" s="1865">
        <f t="shared" si="0"/>
        <v>0</v>
      </c>
      <c r="H23" s="1864"/>
      <c r="I23" s="1866"/>
      <c r="J23" s="1864"/>
      <c r="K23" s="1867">
        <f t="shared" si="1"/>
        <v>0</v>
      </c>
      <c r="L23" s="1864"/>
      <c r="M23" s="1866"/>
      <c r="N23" s="1863"/>
      <c r="O23" s="1864"/>
      <c r="P23" s="1867">
        <f t="shared" si="2"/>
        <v>0</v>
      </c>
      <c r="Q23" s="1864"/>
      <c r="R23" s="1866"/>
      <c r="S23" s="1863"/>
      <c r="T23" s="1864"/>
      <c r="U23" s="1867">
        <f t="shared" si="3"/>
        <v>0</v>
      </c>
      <c r="V23" s="1864"/>
      <c r="W23" s="1866"/>
      <c r="X23" s="1863"/>
      <c r="Y23" s="1864"/>
      <c r="Z23" s="1867">
        <f t="shared" si="4"/>
        <v>0</v>
      </c>
      <c r="AA23" s="1868">
        <f t="shared" si="5"/>
        <v>0</v>
      </c>
      <c r="AB23" s="1869" t="str">
        <f t="shared" si="6"/>
        <v/>
      </c>
      <c r="AC23" s="690"/>
      <c r="AD23" s="1580" t="str">
        <f t="shared" si="7"/>
        <v/>
      </c>
      <c r="AE23" s="1581">
        <f t="shared" si="8"/>
        <v>0</v>
      </c>
      <c r="AF23" s="1581">
        <f t="shared" si="9"/>
        <v>0</v>
      </c>
      <c r="AG23" s="1581">
        <f t="shared" si="10"/>
        <v>0</v>
      </c>
      <c r="AH23" s="1581">
        <f t="shared" si="11"/>
        <v>0</v>
      </c>
      <c r="AI23" s="1582">
        <f t="shared" si="12"/>
        <v>0</v>
      </c>
      <c r="AJ23" s="1583">
        <f t="shared" si="13"/>
        <v>1</v>
      </c>
      <c r="AK23" s="1581">
        <f t="shared" si="14"/>
        <v>0</v>
      </c>
      <c r="AL23" s="1584" t="e">
        <f t="shared" si="15"/>
        <v>#DIV/0!</v>
      </c>
      <c r="AM23" s="1188"/>
      <c r="AN23" s="1585">
        <f t="shared" si="16"/>
        <v>0</v>
      </c>
      <c r="AO23" s="1583">
        <f t="shared" si="17"/>
        <v>0</v>
      </c>
      <c r="AP23" s="1583">
        <f t="shared" si="18"/>
        <v>0</v>
      </c>
      <c r="AQ23" s="1583">
        <f t="shared" si="19"/>
        <v>0</v>
      </c>
      <c r="AR23" s="1586">
        <f t="shared" si="20"/>
        <v>0</v>
      </c>
      <c r="AT23" s="1587">
        <f t="shared" si="21"/>
        <v>0</v>
      </c>
      <c r="AU23" s="1583">
        <f t="shared" si="22"/>
        <v>0</v>
      </c>
      <c r="AV23" s="1583">
        <f t="shared" si="23"/>
        <v>0</v>
      </c>
      <c r="AW23" s="1583">
        <f t="shared" si="24"/>
        <v>0</v>
      </c>
      <c r="AX23" s="1583">
        <f t="shared" si="25"/>
        <v>0</v>
      </c>
      <c r="AY23" s="1588">
        <f t="shared" si="26"/>
        <v>0</v>
      </c>
      <c r="AZ23" s="1189"/>
      <c r="BA23" s="1587">
        <f t="shared" si="27"/>
        <v>0</v>
      </c>
      <c r="BB23" s="1583">
        <f t="shared" si="28"/>
        <v>0</v>
      </c>
      <c r="BC23" s="1583">
        <f t="shared" si="29"/>
        <v>0</v>
      </c>
      <c r="BD23" s="1583">
        <f t="shared" si="30"/>
        <v>0</v>
      </c>
      <c r="BE23" s="1588">
        <f t="shared" si="31"/>
        <v>0</v>
      </c>
      <c r="BG23" s="1581">
        <f t="shared" si="32"/>
        <v>43101</v>
      </c>
      <c r="BH23" s="1581">
        <f t="shared" si="33"/>
        <v>43101</v>
      </c>
      <c r="BI23" s="1581">
        <f t="shared" si="34"/>
        <v>43101</v>
      </c>
      <c r="BJ23" s="1581">
        <f t="shared" si="35"/>
        <v>0</v>
      </c>
      <c r="BL23" s="1585">
        <f t="shared" si="36"/>
        <v>0</v>
      </c>
      <c r="BM23" s="1581">
        <f t="shared" si="37"/>
        <v>0</v>
      </c>
      <c r="BN23" s="1581">
        <f t="shared" si="38"/>
        <v>0</v>
      </c>
      <c r="BO23" s="1589">
        <f t="shared" si="39"/>
        <v>0</v>
      </c>
      <c r="BP23" s="1514"/>
      <c r="BQ23" s="3229"/>
    </row>
    <row r="24" spans="1:69" ht="30" customHeight="1">
      <c r="A24" s="1577"/>
      <c r="B24" s="1577"/>
      <c r="C24" s="1603"/>
      <c r="D24" s="1578"/>
      <c r="E24" s="1863"/>
      <c r="F24" s="1864"/>
      <c r="G24" s="1865">
        <f t="shared" si="0"/>
        <v>0</v>
      </c>
      <c r="H24" s="1864"/>
      <c r="I24" s="1866"/>
      <c r="J24" s="1864"/>
      <c r="K24" s="1867">
        <f t="shared" si="1"/>
        <v>0</v>
      </c>
      <c r="L24" s="1864"/>
      <c r="M24" s="1866"/>
      <c r="N24" s="1863"/>
      <c r="O24" s="1864"/>
      <c r="P24" s="1867">
        <f t="shared" si="2"/>
        <v>0</v>
      </c>
      <c r="Q24" s="1864"/>
      <c r="R24" s="1866"/>
      <c r="S24" s="1863"/>
      <c r="T24" s="1864"/>
      <c r="U24" s="1867">
        <f t="shared" si="3"/>
        <v>0</v>
      </c>
      <c r="V24" s="1864"/>
      <c r="W24" s="1866"/>
      <c r="X24" s="1863"/>
      <c r="Y24" s="1864"/>
      <c r="Z24" s="1867">
        <f t="shared" si="4"/>
        <v>0</v>
      </c>
      <c r="AA24" s="1868">
        <f t="shared" si="5"/>
        <v>0</v>
      </c>
      <c r="AB24" s="1869" t="str">
        <f t="shared" si="6"/>
        <v/>
      </c>
      <c r="AC24" s="690"/>
      <c r="AD24" s="1580" t="str">
        <f t="shared" si="7"/>
        <v/>
      </c>
      <c r="AE24" s="1581">
        <f t="shared" si="8"/>
        <v>0</v>
      </c>
      <c r="AF24" s="1581">
        <f t="shared" si="9"/>
        <v>0</v>
      </c>
      <c r="AG24" s="1581">
        <f t="shared" si="10"/>
        <v>0</v>
      </c>
      <c r="AH24" s="1581">
        <f t="shared" si="11"/>
        <v>0</v>
      </c>
      <c r="AI24" s="1582">
        <f t="shared" si="12"/>
        <v>0</v>
      </c>
      <c r="AJ24" s="1583">
        <f t="shared" si="13"/>
        <v>1</v>
      </c>
      <c r="AK24" s="1581">
        <f t="shared" si="14"/>
        <v>0</v>
      </c>
      <c r="AL24" s="1584" t="e">
        <f t="shared" si="15"/>
        <v>#DIV/0!</v>
      </c>
      <c r="AM24" s="1188"/>
      <c r="AN24" s="1585">
        <f t="shared" si="16"/>
        <v>0</v>
      </c>
      <c r="AO24" s="1583">
        <f t="shared" si="17"/>
        <v>0</v>
      </c>
      <c r="AP24" s="1583">
        <f t="shared" si="18"/>
        <v>0</v>
      </c>
      <c r="AQ24" s="1583">
        <f t="shared" si="19"/>
        <v>0</v>
      </c>
      <c r="AR24" s="1586">
        <f t="shared" si="20"/>
        <v>0</v>
      </c>
      <c r="AT24" s="1587">
        <f t="shared" si="21"/>
        <v>0</v>
      </c>
      <c r="AU24" s="1583">
        <f t="shared" si="22"/>
        <v>0</v>
      </c>
      <c r="AV24" s="1583">
        <f t="shared" si="23"/>
        <v>0</v>
      </c>
      <c r="AW24" s="1583">
        <f t="shared" si="24"/>
        <v>0</v>
      </c>
      <c r="AX24" s="1583">
        <f t="shared" si="25"/>
        <v>0</v>
      </c>
      <c r="AY24" s="1588">
        <f t="shared" si="26"/>
        <v>0</v>
      </c>
      <c r="AZ24" s="1189"/>
      <c r="BA24" s="1587">
        <f t="shared" si="27"/>
        <v>0</v>
      </c>
      <c r="BB24" s="1583">
        <f t="shared" si="28"/>
        <v>0</v>
      </c>
      <c r="BC24" s="1583">
        <f t="shared" si="29"/>
        <v>0</v>
      </c>
      <c r="BD24" s="1583">
        <f t="shared" si="30"/>
        <v>0</v>
      </c>
      <c r="BE24" s="1588">
        <f t="shared" si="31"/>
        <v>0</v>
      </c>
      <c r="BG24" s="1581">
        <f t="shared" si="32"/>
        <v>43101</v>
      </c>
      <c r="BH24" s="1581">
        <f t="shared" si="33"/>
        <v>43101</v>
      </c>
      <c r="BI24" s="1581">
        <f t="shared" si="34"/>
        <v>43101</v>
      </c>
      <c r="BJ24" s="1581">
        <f t="shared" si="35"/>
        <v>0</v>
      </c>
      <c r="BL24" s="1585">
        <f t="shared" si="36"/>
        <v>0</v>
      </c>
      <c r="BM24" s="1581">
        <f t="shared" si="37"/>
        <v>0</v>
      </c>
      <c r="BN24" s="1581">
        <f t="shared" si="38"/>
        <v>0</v>
      </c>
      <c r="BO24" s="1589">
        <f t="shared" si="39"/>
        <v>0</v>
      </c>
      <c r="BP24" s="1514"/>
      <c r="BQ24" s="1590" t="s">
        <v>1503</v>
      </c>
    </row>
    <row r="25" spans="1:69" ht="30" customHeight="1">
      <c r="A25" s="1577"/>
      <c r="B25" s="1577"/>
      <c r="C25" s="1603"/>
      <c r="D25" s="1578"/>
      <c r="E25" s="1863"/>
      <c r="F25" s="1864"/>
      <c r="G25" s="1865">
        <f t="shared" si="0"/>
        <v>0</v>
      </c>
      <c r="H25" s="1864"/>
      <c r="I25" s="1866"/>
      <c r="J25" s="1864"/>
      <c r="K25" s="1867">
        <f t="shared" si="1"/>
        <v>0</v>
      </c>
      <c r="L25" s="1864"/>
      <c r="M25" s="1866"/>
      <c r="N25" s="1863"/>
      <c r="O25" s="1864"/>
      <c r="P25" s="1867">
        <f t="shared" si="2"/>
        <v>0</v>
      </c>
      <c r="Q25" s="1864"/>
      <c r="R25" s="1866"/>
      <c r="S25" s="1863"/>
      <c r="T25" s="1864"/>
      <c r="U25" s="1867">
        <f t="shared" si="3"/>
        <v>0</v>
      </c>
      <c r="V25" s="1864"/>
      <c r="W25" s="1866"/>
      <c r="X25" s="1863"/>
      <c r="Y25" s="1864"/>
      <c r="Z25" s="1867">
        <f t="shared" si="4"/>
        <v>0</v>
      </c>
      <c r="AA25" s="1868">
        <f t="shared" si="5"/>
        <v>0</v>
      </c>
      <c r="AB25" s="1869" t="str">
        <f t="shared" si="6"/>
        <v/>
      </c>
      <c r="AC25" s="690"/>
      <c r="AD25" s="1580" t="str">
        <f t="shared" si="7"/>
        <v/>
      </c>
      <c r="AE25" s="1581">
        <f t="shared" si="8"/>
        <v>0</v>
      </c>
      <c r="AF25" s="1581">
        <f t="shared" si="9"/>
        <v>0</v>
      </c>
      <c r="AG25" s="1581">
        <f t="shared" si="10"/>
        <v>0</v>
      </c>
      <c r="AH25" s="1581">
        <f t="shared" si="11"/>
        <v>0</v>
      </c>
      <c r="AI25" s="1582">
        <f t="shared" si="12"/>
        <v>0</v>
      </c>
      <c r="AJ25" s="1583">
        <f t="shared" si="13"/>
        <v>1</v>
      </c>
      <c r="AK25" s="1581">
        <f t="shared" si="14"/>
        <v>0</v>
      </c>
      <c r="AL25" s="1584" t="e">
        <f t="shared" si="15"/>
        <v>#DIV/0!</v>
      </c>
      <c r="AM25" s="1188"/>
      <c r="AN25" s="1585">
        <f t="shared" si="16"/>
        <v>0</v>
      </c>
      <c r="AO25" s="1583">
        <f t="shared" si="17"/>
        <v>0</v>
      </c>
      <c r="AP25" s="1583">
        <f t="shared" si="18"/>
        <v>0</v>
      </c>
      <c r="AQ25" s="1583">
        <f t="shared" si="19"/>
        <v>0</v>
      </c>
      <c r="AR25" s="1586">
        <f t="shared" si="20"/>
        <v>0</v>
      </c>
      <c r="AT25" s="1587">
        <f t="shared" si="21"/>
        <v>0</v>
      </c>
      <c r="AU25" s="1583">
        <f t="shared" si="22"/>
        <v>0</v>
      </c>
      <c r="AV25" s="1583">
        <f t="shared" si="23"/>
        <v>0</v>
      </c>
      <c r="AW25" s="1583">
        <f t="shared" si="24"/>
        <v>0</v>
      </c>
      <c r="AX25" s="1583">
        <f t="shared" si="25"/>
        <v>0</v>
      </c>
      <c r="AY25" s="1588">
        <f t="shared" si="26"/>
        <v>0</v>
      </c>
      <c r="AZ25" s="1189"/>
      <c r="BA25" s="1587">
        <f t="shared" si="27"/>
        <v>0</v>
      </c>
      <c r="BB25" s="1583">
        <f t="shared" si="28"/>
        <v>0</v>
      </c>
      <c r="BC25" s="1583">
        <f t="shared" si="29"/>
        <v>0</v>
      </c>
      <c r="BD25" s="1583">
        <f t="shared" si="30"/>
        <v>0</v>
      </c>
      <c r="BE25" s="1588">
        <f t="shared" si="31"/>
        <v>0</v>
      </c>
      <c r="BG25" s="1581">
        <f t="shared" si="32"/>
        <v>43101</v>
      </c>
      <c r="BH25" s="1581">
        <f t="shared" si="33"/>
        <v>43101</v>
      </c>
      <c r="BI25" s="1581">
        <f t="shared" si="34"/>
        <v>43101</v>
      </c>
      <c r="BJ25" s="1581">
        <f t="shared" si="35"/>
        <v>0</v>
      </c>
      <c r="BL25" s="1585">
        <f t="shared" si="36"/>
        <v>0</v>
      </c>
      <c r="BM25" s="1581">
        <f t="shared" si="37"/>
        <v>0</v>
      </c>
      <c r="BN25" s="1581">
        <f t="shared" si="38"/>
        <v>0</v>
      </c>
      <c r="BO25" s="1589">
        <f t="shared" si="39"/>
        <v>0</v>
      </c>
      <c r="BP25" s="1514"/>
      <c r="BQ25" s="3229" t="s">
        <v>1504</v>
      </c>
    </row>
    <row r="26" spans="1:69" ht="30" customHeight="1">
      <c r="A26" s="1577"/>
      <c r="B26" s="1577"/>
      <c r="C26" s="1603"/>
      <c r="D26" s="1578"/>
      <c r="E26" s="1863"/>
      <c r="F26" s="1864"/>
      <c r="G26" s="1865">
        <f t="shared" si="0"/>
        <v>0</v>
      </c>
      <c r="H26" s="1864"/>
      <c r="I26" s="1866"/>
      <c r="J26" s="1864"/>
      <c r="K26" s="1867">
        <f t="shared" si="1"/>
        <v>0</v>
      </c>
      <c r="L26" s="1864"/>
      <c r="M26" s="1866"/>
      <c r="N26" s="1863"/>
      <c r="O26" s="1864"/>
      <c r="P26" s="1867">
        <f t="shared" si="2"/>
        <v>0</v>
      </c>
      <c r="Q26" s="1864"/>
      <c r="R26" s="1866"/>
      <c r="S26" s="1863"/>
      <c r="T26" s="1864"/>
      <c r="U26" s="1867">
        <f t="shared" si="3"/>
        <v>0</v>
      </c>
      <c r="V26" s="1864"/>
      <c r="W26" s="1866"/>
      <c r="X26" s="1863"/>
      <c r="Y26" s="1864"/>
      <c r="Z26" s="1867">
        <f t="shared" si="4"/>
        <v>0</v>
      </c>
      <c r="AA26" s="1868">
        <f t="shared" si="5"/>
        <v>0</v>
      </c>
      <c r="AB26" s="1869" t="str">
        <f t="shared" si="6"/>
        <v/>
      </c>
      <c r="AC26" s="690"/>
      <c r="AD26" s="1580" t="str">
        <f t="shared" si="7"/>
        <v/>
      </c>
      <c r="AE26" s="1581">
        <f t="shared" si="8"/>
        <v>0</v>
      </c>
      <c r="AF26" s="1581">
        <f t="shared" si="9"/>
        <v>0</v>
      </c>
      <c r="AG26" s="1581">
        <f t="shared" si="10"/>
        <v>0</v>
      </c>
      <c r="AH26" s="1581">
        <f t="shared" si="11"/>
        <v>0</v>
      </c>
      <c r="AI26" s="1582">
        <f t="shared" si="12"/>
        <v>0</v>
      </c>
      <c r="AJ26" s="1583">
        <f t="shared" si="13"/>
        <v>1</v>
      </c>
      <c r="AK26" s="1581">
        <f t="shared" si="14"/>
        <v>0</v>
      </c>
      <c r="AL26" s="1584" t="e">
        <f t="shared" si="15"/>
        <v>#DIV/0!</v>
      </c>
      <c r="AM26" s="1188"/>
      <c r="AN26" s="1585">
        <f t="shared" si="16"/>
        <v>0</v>
      </c>
      <c r="AO26" s="1583">
        <f t="shared" si="17"/>
        <v>0</v>
      </c>
      <c r="AP26" s="1583">
        <f t="shared" si="18"/>
        <v>0</v>
      </c>
      <c r="AQ26" s="1583">
        <f t="shared" si="19"/>
        <v>0</v>
      </c>
      <c r="AR26" s="1586">
        <f t="shared" si="20"/>
        <v>0</v>
      </c>
      <c r="AT26" s="1587">
        <f t="shared" si="21"/>
        <v>0</v>
      </c>
      <c r="AU26" s="1583">
        <f t="shared" si="22"/>
        <v>0</v>
      </c>
      <c r="AV26" s="1583">
        <f t="shared" si="23"/>
        <v>0</v>
      </c>
      <c r="AW26" s="1583">
        <f t="shared" si="24"/>
        <v>0</v>
      </c>
      <c r="AX26" s="1583">
        <f t="shared" si="25"/>
        <v>0</v>
      </c>
      <c r="AY26" s="1588">
        <f t="shared" si="26"/>
        <v>0</v>
      </c>
      <c r="AZ26" s="1189"/>
      <c r="BA26" s="1587">
        <f t="shared" si="27"/>
        <v>0</v>
      </c>
      <c r="BB26" s="1583">
        <f t="shared" si="28"/>
        <v>0</v>
      </c>
      <c r="BC26" s="1583">
        <f t="shared" si="29"/>
        <v>0</v>
      </c>
      <c r="BD26" s="1583">
        <f t="shared" si="30"/>
        <v>0</v>
      </c>
      <c r="BE26" s="1588">
        <f t="shared" si="31"/>
        <v>0</v>
      </c>
      <c r="BG26" s="1581">
        <f t="shared" si="32"/>
        <v>43101</v>
      </c>
      <c r="BH26" s="1581">
        <f t="shared" si="33"/>
        <v>43101</v>
      </c>
      <c r="BI26" s="1581">
        <f t="shared" si="34"/>
        <v>43101</v>
      </c>
      <c r="BJ26" s="1581">
        <f t="shared" si="35"/>
        <v>0</v>
      </c>
      <c r="BL26" s="1585">
        <f t="shared" si="36"/>
        <v>0</v>
      </c>
      <c r="BM26" s="1581">
        <f t="shared" si="37"/>
        <v>0</v>
      </c>
      <c r="BN26" s="1581">
        <f t="shared" si="38"/>
        <v>0</v>
      </c>
      <c r="BO26" s="1589">
        <f t="shared" si="39"/>
        <v>0</v>
      </c>
      <c r="BP26" s="1514"/>
      <c r="BQ26" s="3229"/>
    </row>
    <row r="27" spans="1:69" ht="30" customHeight="1">
      <c r="A27" s="1577"/>
      <c r="B27" s="1577"/>
      <c r="C27" s="1603"/>
      <c r="D27" s="1578"/>
      <c r="E27" s="1863"/>
      <c r="F27" s="1864"/>
      <c r="G27" s="1865">
        <f t="shared" si="0"/>
        <v>0</v>
      </c>
      <c r="H27" s="1864"/>
      <c r="I27" s="1866"/>
      <c r="J27" s="1864"/>
      <c r="K27" s="1867">
        <f t="shared" si="1"/>
        <v>0</v>
      </c>
      <c r="L27" s="1864"/>
      <c r="M27" s="1866"/>
      <c r="N27" s="1863"/>
      <c r="O27" s="1864"/>
      <c r="P27" s="1867">
        <f t="shared" si="2"/>
        <v>0</v>
      </c>
      <c r="Q27" s="1864"/>
      <c r="R27" s="1866"/>
      <c r="S27" s="1863"/>
      <c r="T27" s="1864"/>
      <c r="U27" s="1867">
        <f t="shared" si="3"/>
        <v>0</v>
      </c>
      <c r="V27" s="1864"/>
      <c r="W27" s="1866"/>
      <c r="X27" s="1863"/>
      <c r="Y27" s="1864"/>
      <c r="Z27" s="1867">
        <f t="shared" si="4"/>
        <v>0</v>
      </c>
      <c r="AA27" s="1868">
        <f t="shared" si="5"/>
        <v>0</v>
      </c>
      <c r="AB27" s="1869" t="str">
        <f t="shared" si="6"/>
        <v/>
      </c>
      <c r="AC27" s="690"/>
      <c r="AD27" s="1580" t="str">
        <f t="shared" si="7"/>
        <v/>
      </c>
      <c r="AE27" s="1581">
        <f t="shared" si="8"/>
        <v>0</v>
      </c>
      <c r="AF27" s="1581">
        <f t="shared" si="9"/>
        <v>0</v>
      </c>
      <c r="AG27" s="1581">
        <f t="shared" si="10"/>
        <v>0</v>
      </c>
      <c r="AH27" s="1581">
        <f t="shared" si="11"/>
        <v>0</v>
      </c>
      <c r="AI27" s="1582">
        <f t="shared" si="12"/>
        <v>0</v>
      </c>
      <c r="AJ27" s="1583">
        <f t="shared" si="13"/>
        <v>1</v>
      </c>
      <c r="AK27" s="1581">
        <f t="shared" si="14"/>
        <v>0</v>
      </c>
      <c r="AL27" s="1584" t="e">
        <f t="shared" si="15"/>
        <v>#DIV/0!</v>
      </c>
      <c r="AM27" s="1188"/>
      <c r="AN27" s="1585">
        <f t="shared" si="16"/>
        <v>0</v>
      </c>
      <c r="AO27" s="1583">
        <f t="shared" si="17"/>
        <v>0</v>
      </c>
      <c r="AP27" s="1583">
        <f t="shared" si="18"/>
        <v>0</v>
      </c>
      <c r="AQ27" s="1583">
        <f t="shared" si="19"/>
        <v>0</v>
      </c>
      <c r="AR27" s="1586">
        <f t="shared" si="20"/>
        <v>0</v>
      </c>
      <c r="AT27" s="1587">
        <f t="shared" si="21"/>
        <v>0</v>
      </c>
      <c r="AU27" s="1583">
        <f t="shared" si="22"/>
        <v>0</v>
      </c>
      <c r="AV27" s="1583">
        <f t="shared" si="23"/>
        <v>0</v>
      </c>
      <c r="AW27" s="1583">
        <f t="shared" si="24"/>
        <v>0</v>
      </c>
      <c r="AX27" s="1583">
        <f t="shared" si="25"/>
        <v>0</v>
      </c>
      <c r="AY27" s="1588">
        <f t="shared" si="26"/>
        <v>0</v>
      </c>
      <c r="AZ27" s="1189"/>
      <c r="BA27" s="1587">
        <f t="shared" si="27"/>
        <v>0</v>
      </c>
      <c r="BB27" s="1583">
        <f t="shared" si="28"/>
        <v>0</v>
      </c>
      <c r="BC27" s="1583">
        <f t="shared" si="29"/>
        <v>0</v>
      </c>
      <c r="BD27" s="1583">
        <f t="shared" si="30"/>
        <v>0</v>
      </c>
      <c r="BE27" s="1588">
        <f t="shared" si="31"/>
        <v>0</v>
      </c>
      <c r="BG27" s="1581">
        <f t="shared" si="32"/>
        <v>43101</v>
      </c>
      <c r="BH27" s="1581">
        <f t="shared" si="33"/>
        <v>43101</v>
      </c>
      <c r="BI27" s="1581">
        <f t="shared" si="34"/>
        <v>43101</v>
      </c>
      <c r="BJ27" s="1581">
        <f t="shared" si="35"/>
        <v>0</v>
      </c>
      <c r="BL27" s="1585">
        <f t="shared" si="36"/>
        <v>0</v>
      </c>
      <c r="BM27" s="1581">
        <f t="shared" si="37"/>
        <v>0</v>
      </c>
      <c r="BN27" s="1581">
        <f t="shared" si="38"/>
        <v>0</v>
      </c>
      <c r="BO27" s="1589">
        <f t="shared" si="39"/>
        <v>0</v>
      </c>
      <c r="BP27" s="1514"/>
      <c r="BQ27" s="1862" t="s">
        <v>1841</v>
      </c>
    </row>
    <row r="28" spans="1:69" ht="30" customHeight="1">
      <c r="A28" s="1577"/>
      <c r="B28" s="1577"/>
      <c r="C28" s="1603"/>
      <c r="D28" s="1578"/>
      <c r="E28" s="1863"/>
      <c r="F28" s="1864"/>
      <c r="G28" s="1865">
        <f t="shared" si="0"/>
        <v>0</v>
      </c>
      <c r="H28" s="1864"/>
      <c r="I28" s="1866"/>
      <c r="J28" s="1864"/>
      <c r="K28" s="1867">
        <f t="shared" si="1"/>
        <v>0</v>
      </c>
      <c r="L28" s="1864"/>
      <c r="M28" s="1866"/>
      <c r="N28" s="1863"/>
      <c r="O28" s="1864"/>
      <c r="P28" s="1867">
        <f t="shared" si="2"/>
        <v>0</v>
      </c>
      <c r="Q28" s="1864"/>
      <c r="R28" s="1866"/>
      <c r="S28" s="1863"/>
      <c r="T28" s="1864"/>
      <c r="U28" s="1867">
        <f t="shared" si="3"/>
        <v>0</v>
      </c>
      <c r="V28" s="1864"/>
      <c r="W28" s="1866"/>
      <c r="X28" s="1863"/>
      <c r="Y28" s="1864"/>
      <c r="Z28" s="1867">
        <f t="shared" si="4"/>
        <v>0</v>
      </c>
      <c r="AA28" s="1868">
        <f t="shared" si="5"/>
        <v>0</v>
      </c>
      <c r="AB28" s="1869" t="str">
        <f t="shared" si="6"/>
        <v/>
      </c>
      <c r="AC28" s="690"/>
      <c r="AD28" s="1580" t="str">
        <f t="shared" si="7"/>
        <v/>
      </c>
      <c r="AE28" s="1581">
        <f t="shared" si="8"/>
        <v>0</v>
      </c>
      <c r="AF28" s="1581">
        <f t="shared" si="9"/>
        <v>0</v>
      </c>
      <c r="AG28" s="1581">
        <f t="shared" si="10"/>
        <v>0</v>
      </c>
      <c r="AH28" s="1581">
        <f t="shared" si="11"/>
        <v>0</v>
      </c>
      <c r="AI28" s="1582">
        <f t="shared" si="12"/>
        <v>0</v>
      </c>
      <c r="AJ28" s="1583">
        <f t="shared" si="13"/>
        <v>1</v>
      </c>
      <c r="AK28" s="1581">
        <f t="shared" si="14"/>
        <v>0</v>
      </c>
      <c r="AL28" s="1584" t="e">
        <f t="shared" si="15"/>
        <v>#DIV/0!</v>
      </c>
      <c r="AM28" s="1188"/>
      <c r="AN28" s="1585">
        <f t="shared" si="16"/>
        <v>0</v>
      </c>
      <c r="AO28" s="1583">
        <f t="shared" si="17"/>
        <v>0</v>
      </c>
      <c r="AP28" s="1583">
        <f t="shared" si="18"/>
        <v>0</v>
      </c>
      <c r="AQ28" s="1583">
        <f t="shared" si="19"/>
        <v>0</v>
      </c>
      <c r="AR28" s="1586">
        <f t="shared" si="20"/>
        <v>0</v>
      </c>
      <c r="AT28" s="1587">
        <f t="shared" si="21"/>
        <v>0</v>
      </c>
      <c r="AU28" s="1583">
        <f t="shared" si="22"/>
        <v>0</v>
      </c>
      <c r="AV28" s="1583">
        <f t="shared" si="23"/>
        <v>0</v>
      </c>
      <c r="AW28" s="1583">
        <f t="shared" si="24"/>
        <v>0</v>
      </c>
      <c r="AX28" s="1583">
        <f t="shared" si="25"/>
        <v>0</v>
      </c>
      <c r="AY28" s="1588">
        <f t="shared" si="26"/>
        <v>0</v>
      </c>
      <c r="AZ28" s="1189"/>
      <c r="BA28" s="1587">
        <f t="shared" si="27"/>
        <v>0</v>
      </c>
      <c r="BB28" s="1583">
        <f t="shared" si="28"/>
        <v>0</v>
      </c>
      <c r="BC28" s="1583">
        <f t="shared" si="29"/>
        <v>0</v>
      </c>
      <c r="BD28" s="1583">
        <f t="shared" si="30"/>
        <v>0</v>
      </c>
      <c r="BE28" s="1588">
        <f t="shared" si="31"/>
        <v>0</v>
      </c>
      <c r="BG28" s="1581">
        <f t="shared" si="32"/>
        <v>43101</v>
      </c>
      <c r="BH28" s="1581">
        <f t="shared" si="33"/>
        <v>43101</v>
      </c>
      <c r="BI28" s="1581">
        <f t="shared" si="34"/>
        <v>43101</v>
      </c>
      <c r="BJ28" s="1581">
        <f t="shared" si="35"/>
        <v>0</v>
      </c>
      <c r="BL28" s="1585">
        <f t="shared" si="36"/>
        <v>0</v>
      </c>
      <c r="BM28" s="1581">
        <f t="shared" si="37"/>
        <v>0</v>
      </c>
      <c r="BN28" s="1581">
        <f t="shared" si="38"/>
        <v>0</v>
      </c>
      <c r="BO28" s="1589">
        <f t="shared" si="39"/>
        <v>0</v>
      </c>
      <c r="BP28" s="1514"/>
      <c r="BQ28" s="1862" t="s">
        <v>1842</v>
      </c>
    </row>
    <row r="29" spans="1:69" ht="30" customHeight="1">
      <c r="A29" s="1577"/>
      <c r="B29" s="1577"/>
      <c r="C29" s="1603"/>
      <c r="D29" s="1578"/>
      <c r="E29" s="1863"/>
      <c r="F29" s="1864"/>
      <c r="G29" s="1865">
        <f t="shared" si="0"/>
        <v>0</v>
      </c>
      <c r="H29" s="1864"/>
      <c r="I29" s="1866"/>
      <c r="J29" s="1864"/>
      <c r="K29" s="1867">
        <f t="shared" si="1"/>
        <v>0</v>
      </c>
      <c r="L29" s="1864"/>
      <c r="M29" s="1866"/>
      <c r="N29" s="1863"/>
      <c r="O29" s="1864"/>
      <c r="P29" s="1867">
        <f t="shared" si="2"/>
        <v>0</v>
      </c>
      <c r="Q29" s="1864"/>
      <c r="R29" s="1866"/>
      <c r="S29" s="1863"/>
      <c r="T29" s="1864"/>
      <c r="U29" s="1867">
        <f t="shared" si="3"/>
        <v>0</v>
      </c>
      <c r="V29" s="1864"/>
      <c r="W29" s="1866"/>
      <c r="X29" s="1863"/>
      <c r="Y29" s="1864"/>
      <c r="Z29" s="1867">
        <f t="shared" si="4"/>
        <v>0</v>
      </c>
      <c r="AA29" s="1868">
        <f t="shared" si="5"/>
        <v>0</v>
      </c>
      <c r="AB29" s="1869" t="str">
        <f t="shared" si="6"/>
        <v/>
      </c>
      <c r="AC29" s="690"/>
      <c r="AD29" s="1580" t="str">
        <f t="shared" si="7"/>
        <v/>
      </c>
      <c r="AE29" s="1581">
        <f t="shared" si="8"/>
        <v>0</v>
      </c>
      <c r="AF29" s="1581">
        <f t="shared" si="9"/>
        <v>0</v>
      </c>
      <c r="AG29" s="1581">
        <f t="shared" si="10"/>
        <v>0</v>
      </c>
      <c r="AH29" s="1581">
        <f t="shared" si="11"/>
        <v>0</v>
      </c>
      <c r="AI29" s="1582">
        <f t="shared" si="12"/>
        <v>0</v>
      </c>
      <c r="AJ29" s="1583">
        <f t="shared" si="13"/>
        <v>1</v>
      </c>
      <c r="AK29" s="1581">
        <f t="shared" si="14"/>
        <v>0</v>
      </c>
      <c r="AL29" s="1584" t="e">
        <f t="shared" si="15"/>
        <v>#DIV/0!</v>
      </c>
      <c r="AM29" s="1188"/>
      <c r="AN29" s="1585">
        <f t="shared" si="16"/>
        <v>0</v>
      </c>
      <c r="AO29" s="1583">
        <f t="shared" si="17"/>
        <v>0</v>
      </c>
      <c r="AP29" s="1583">
        <f t="shared" si="18"/>
        <v>0</v>
      </c>
      <c r="AQ29" s="1583">
        <f t="shared" si="19"/>
        <v>0</v>
      </c>
      <c r="AR29" s="1586">
        <f t="shared" si="20"/>
        <v>0</v>
      </c>
      <c r="AT29" s="1587">
        <f t="shared" si="21"/>
        <v>0</v>
      </c>
      <c r="AU29" s="1583">
        <f t="shared" si="22"/>
        <v>0</v>
      </c>
      <c r="AV29" s="1583">
        <f t="shared" si="23"/>
        <v>0</v>
      </c>
      <c r="AW29" s="1583">
        <f t="shared" si="24"/>
        <v>0</v>
      </c>
      <c r="AX29" s="1583">
        <f t="shared" si="25"/>
        <v>0</v>
      </c>
      <c r="AY29" s="1588">
        <f t="shared" si="26"/>
        <v>0</v>
      </c>
      <c r="AZ29" s="1189"/>
      <c r="BA29" s="1587">
        <f t="shared" si="27"/>
        <v>0</v>
      </c>
      <c r="BB29" s="1583">
        <f t="shared" si="28"/>
        <v>0</v>
      </c>
      <c r="BC29" s="1583">
        <f t="shared" si="29"/>
        <v>0</v>
      </c>
      <c r="BD29" s="1583">
        <f t="shared" si="30"/>
        <v>0</v>
      </c>
      <c r="BE29" s="1588">
        <f t="shared" si="31"/>
        <v>0</v>
      </c>
      <c r="BG29" s="1581">
        <f t="shared" si="32"/>
        <v>43101</v>
      </c>
      <c r="BH29" s="1581">
        <f t="shared" si="33"/>
        <v>43101</v>
      </c>
      <c r="BI29" s="1581">
        <f t="shared" si="34"/>
        <v>43101</v>
      </c>
      <c r="BJ29" s="1581">
        <f t="shared" si="35"/>
        <v>0</v>
      </c>
      <c r="BL29" s="1585">
        <f t="shared" si="36"/>
        <v>0</v>
      </c>
      <c r="BM29" s="1581">
        <f t="shared" si="37"/>
        <v>0</v>
      </c>
      <c r="BN29" s="1581">
        <f t="shared" si="38"/>
        <v>0</v>
      </c>
      <c r="BO29" s="1589">
        <f t="shared" si="39"/>
        <v>0</v>
      </c>
      <c r="BP29" s="1514"/>
    </row>
    <row r="30" spans="1:69" ht="30" customHeight="1">
      <c r="A30" s="1577"/>
      <c r="B30" s="1577"/>
      <c r="C30" s="1603"/>
      <c r="D30" s="1578"/>
      <c r="E30" s="1863"/>
      <c r="F30" s="1864"/>
      <c r="G30" s="1865">
        <f t="shared" si="0"/>
        <v>0</v>
      </c>
      <c r="H30" s="1864"/>
      <c r="I30" s="1866"/>
      <c r="J30" s="1864"/>
      <c r="K30" s="1867">
        <f t="shared" si="1"/>
        <v>0</v>
      </c>
      <c r="L30" s="1864"/>
      <c r="M30" s="1866"/>
      <c r="N30" s="1863"/>
      <c r="O30" s="1864"/>
      <c r="P30" s="1867">
        <f t="shared" si="2"/>
        <v>0</v>
      </c>
      <c r="Q30" s="1864"/>
      <c r="R30" s="1866"/>
      <c r="S30" s="1863"/>
      <c r="T30" s="1864"/>
      <c r="U30" s="1867">
        <f t="shared" si="3"/>
        <v>0</v>
      </c>
      <c r="V30" s="1864"/>
      <c r="W30" s="1866"/>
      <c r="X30" s="1863"/>
      <c r="Y30" s="1864"/>
      <c r="Z30" s="1867">
        <f t="shared" si="4"/>
        <v>0</v>
      </c>
      <c r="AA30" s="1868">
        <f t="shared" si="5"/>
        <v>0</v>
      </c>
      <c r="AB30" s="1869" t="str">
        <f t="shared" si="6"/>
        <v/>
      </c>
      <c r="AC30" s="690"/>
      <c r="AD30" s="1580" t="str">
        <f t="shared" si="7"/>
        <v/>
      </c>
      <c r="AE30" s="1581">
        <f t="shared" si="8"/>
        <v>0</v>
      </c>
      <c r="AF30" s="1581">
        <f t="shared" si="9"/>
        <v>0</v>
      </c>
      <c r="AG30" s="1581">
        <f t="shared" si="10"/>
        <v>0</v>
      </c>
      <c r="AH30" s="1581">
        <f t="shared" si="11"/>
        <v>0</v>
      </c>
      <c r="AI30" s="1582">
        <f t="shared" si="12"/>
        <v>0</v>
      </c>
      <c r="AJ30" s="1583">
        <f t="shared" si="13"/>
        <v>1</v>
      </c>
      <c r="AK30" s="1581">
        <f t="shared" si="14"/>
        <v>0</v>
      </c>
      <c r="AL30" s="1584" t="e">
        <f t="shared" si="15"/>
        <v>#DIV/0!</v>
      </c>
      <c r="AM30" s="1188"/>
      <c r="AN30" s="1585">
        <f t="shared" si="16"/>
        <v>0</v>
      </c>
      <c r="AO30" s="1583">
        <f t="shared" si="17"/>
        <v>0</v>
      </c>
      <c r="AP30" s="1583">
        <f t="shared" si="18"/>
        <v>0</v>
      </c>
      <c r="AQ30" s="1583">
        <f t="shared" si="19"/>
        <v>0</v>
      </c>
      <c r="AR30" s="1586">
        <f t="shared" si="20"/>
        <v>0</v>
      </c>
      <c r="AT30" s="1587">
        <f t="shared" si="21"/>
        <v>0</v>
      </c>
      <c r="AU30" s="1583">
        <f t="shared" si="22"/>
        <v>0</v>
      </c>
      <c r="AV30" s="1583">
        <f t="shared" si="23"/>
        <v>0</v>
      </c>
      <c r="AW30" s="1583">
        <f t="shared" si="24"/>
        <v>0</v>
      </c>
      <c r="AX30" s="1583">
        <f t="shared" si="25"/>
        <v>0</v>
      </c>
      <c r="AY30" s="1588">
        <f t="shared" si="26"/>
        <v>0</v>
      </c>
      <c r="AZ30" s="1189"/>
      <c r="BA30" s="1587">
        <f t="shared" si="27"/>
        <v>0</v>
      </c>
      <c r="BB30" s="1583">
        <f t="shared" si="28"/>
        <v>0</v>
      </c>
      <c r="BC30" s="1583">
        <f t="shared" si="29"/>
        <v>0</v>
      </c>
      <c r="BD30" s="1583">
        <f t="shared" si="30"/>
        <v>0</v>
      </c>
      <c r="BE30" s="1588">
        <f t="shared" si="31"/>
        <v>0</v>
      </c>
      <c r="BG30" s="1581">
        <f t="shared" si="32"/>
        <v>43101</v>
      </c>
      <c r="BH30" s="1581">
        <f t="shared" si="33"/>
        <v>43101</v>
      </c>
      <c r="BI30" s="1581">
        <f t="shared" si="34"/>
        <v>43101</v>
      </c>
      <c r="BJ30" s="1581">
        <f t="shared" si="35"/>
        <v>0</v>
      </c>
      <c r="BL30" s="1585">
        <f t="shared" si="36"/>
        <v>0</v>
      </c>
      <c r="BM30" s="1581">
        <f t="shared" si="37"/>
        <v>0</v>
      </c>
      <c r="BN30" s="1581">
        <f t="shared" si="38"/>
        <v>0</v>
      </c>
      <c r="BO30" s="1589">
        <f t="shared" si="39"/>
        <v>0</v>
      </c>
      <c r="BP30" s="1514"/>
    </row>
    <row r="31" spans="1:69" ht="30" customHeight="1">
      <c r="A31" s="1577"/>
      <c r="B31" s="1577"/>
      <c r="C31" s="1603"/>
      <c r="D31" s="1578"/>
      <c r="E31" s="1863"/>
      <c r="F31" s="1864"/>
      <c r="G31" s="1865">
        <f t="shared" si="0"/>
        <v>0</v>
      </c>
      <c r="H31" s="1864"/>
      <c r="I31" s="1866"/>
      <c r="J31" s="1864"/>
      <c r="K31" s="1867">
        <f t="shared" si="1"/>
        <v>0</v>
      </c>
      <c r="L31" s="1864"/>
      <c r="M31" s="1866"/>
      <c r="N31" s="1863"/>
      <c r="O31" s="1864"/>
      <c r="P31" s="1867">
        <f t="shared" si="2"/>
        <v>0</v>
      </c>
      <c r="Q31" s="1864"/>
      <c r="R31" s="1866"/>
      <c r="S31" s="1863"/>
      <c r="T31" s="1864"/>
      <c r="U31" s="1867">
        <f t="shared" si="3"/>
        <v>0</v>
      </c>
      <c r="V31" s="1864"/>
      <c r="W31" s="1866"/>
      <c r="X31" s="1863"/>
      <c r="Y31" s="1864"/>
      <c r="Z31" s="1867">
        <f t="shared" si="4"/>
        <v>0</v>
      </c>
      <c r="AA31" s="1868">
        <f t="shared" si="5"/>
        <v>0</v>
      </c>
      <c r="AB31" s="1869" t="str">
        <f t="shared" si="6"/>
        <v/>
      </c>
      <c r="AC31" s="690"/>
      <c r="AD31" s="1580" t="str">
        <f t="shared" si="7"/>
        <v/>
      </c>
      <c r="AE31" s="1581">
        <f t="shared" si="8"/>
        <v>0</v>
      </c>
      <c r="AF31" s="1581">
        <f t="shared" si="9"/>
        <v>0</v>
      </c>
      <c r="AG31" s="1581">
        <f t="shared" si="10"/>
        <v>0</v>
      </c>
      <c r="AH31" s="1581">
        <f t="shared" si="11"/>
        <v>0</v>
      </c>
      <c r="AI31" s="1582">
        <f t="shared" si="12"/>
        <v>0</v>
      </c>
      <c r="AJ31" s="1583">
        <f t="shared" si="13"/>
        <v>1</v>
      </c>
      <c r="AK31" s="1581">
        <f t="shared" si="14"/>
        <v>0</v>
      </c>
      <c r="AL31" s="1584" t="e">
        <f t="shared" si="15"/>
        <v>#DIV/0!</v>
      </c>
      <c r="AM31" s="1188"/>
      <c r="AN31" s="1585">
        <f t="shared" si="16"/>
        <v>0</v>
      </c>
      <c r="AO31" s="1583">
        <f t="shared" si="17"/>
        <v>0</v>
      </c>
      <c r="AP31" s="1583">
        <f t="shared" si="18"/>
        <v>0</v>
      </c>
      <c r="AQ31" s="1583">
        <f t="shared" si="19"/>
        <v>0</v>
      </c>
      <c r="AR31" s="1586">
        <f t="shared" si="20"/>
        <v>0</v>
      </c>
      <c r="AT31" s="1587">
        <f t="shared" si="21"/>
        <v>0</v>
      </c>
      <c r="AU31" s="1583">
        <f t="shared" si="22"/>
        <v>0</v>
      </c>
      <c r="AV31" s="1583">
        <f t="shared" si="23"/>
        <v>0</v>
      </c>
      <c r="AW31" s="1583">
        <f t="shared" si="24"/>
        <v>0</v>
      </c>
      <c r="AX31" s="1583">
        <f t="shared" si="25"/>
        <v>0</v>
      </c>
      <c r="AY31" s="1588">
        <f t="shared" si="26"/>
        <v>0</v>
      </c>
      <c r="AZ31" s="1189"/>
      <c r="BA31" s="1587">
        <f t="shared" si="27"/>
        <v>0</v>
      </c>
      <c r="BB31" s="1583">
        <f t="shared" si="28"/>
        <v>0</v>
      </c>
      <c r="BC31" s="1583">
        <f t="shared" si="29"/>
        <v>0</v>
      </c>
      <c r="BD31" s="1583">
        <f t="shared" si="30"/>
        <v>0</v>
      </c>
      <c r="BE31" s="1588">
        <f t="shared" si="31"/>
        <v>0</v>
      </c>
      <c r="BG31" s="1581">
        <f t="shared" si="32"/>
        <v>43101</v>
      </c>
      <c r="BH31" s="1581">
        <f t="shared" si="33"/>
        <v>43101</v>
      </c>
      <c r="BI31" s="1581">
        <f t="shared" si="34"/>
        <v>43101</v>
      </c>
      <c r="BJ31" s="1581">
        <f t="shared" si="35"/>
        <v>0</v>
      </c>
      <c r="BL31" s="1585">
        <f t="shared" si="36"/>
        <v>0</v>
      </c>
      <c r="BM31" s="1581">
        <f t="shared" si="37"/>
        <v>0</v>
      </c>
      <c r="BN31" s="1581">
        <f t="shared" si="38"/>
        <v>0</v>
      </c>
      <c r="BO31" s="1589">
        <f t="shared" si="39"/>
        <v>0</v>
      </c>
      <c r="BP31" s="1514"/>
    </row>
    <row r="32" spans="1:69" ht="30" customHeight="1">
      <c r="A32" s="1577"/>
      <c r="B32" s="1577"/>
      <c r="C32" s="1603"/>
      <c r="D32" s="1578"/>
      <c r="E32" s="1863"/>
      <c r="F32" s="1864"/>
      <c r="G32" s="1865">
        <f t="shared" si="0"/>
        <v>0</v>
      </c>
      <c r="H32" s="1864"/>
      <c r="I32" s="1866"/>
      <c r="J32" s="1864"/>
      <c r="K32" s="1867">
        <f t="shared" si="1"/>
        <v>0</v>
      </c>
      <c r="L32" s="1864"/>
      <c r="M32" s="1866"/>
      <c r="N32" s="1863"/>
      <c r="O32" s="1864"/>
      <c r="P32" s="1867">
        <f t="shared" si="2"/>
        <v>0</v>
      </c>
      <c r="Q32" s="1864"/>
      <c r="R32" s="1866"/>
      <c r="S32" s="1863"/>
      <c r="T32" s="1864"/>
      <c r="U32" s="1867">
        <f t="shared" si="3"/>
        <v>0</v>
      </c>
      <c r="V32" s="1864"/>
      <c r="W32" s="1866"/>
      <c r="X32" s="1863"/>
      <c r="Y32" s="1864"/>
      <c r="Z32" s="1867">
        <f t="shared" si="4"/>
        <v>0</v>
      </c>
      <c r="AA32" s="1868">
        <f t="shared" si="5"/>
        <v>0</v>
      </c>
      <c r="AB32" s="1869" t="str">
        <f t="shared" si="6"/>
        <v/>
      </c>
      <c r="AC32" s="690"/>
      <c r="AD32" s="1580" t="str">
        <f t="shared" si="7"/>
        <v/>
      </c>
      <c r="AE32" s="1581">
        <f t="shared" si="8"/>
        <v>0</v>
      </c>
      <c r="AF32" s="1581">
        <f t="shared" si="9"/>
        <v>0</v>
      </c>
      <c r="AG32" s="1581">
        <f t="shared" si="10"/>
        <v>0</v>
      </c>
      <c r="AH32" s="1581">
        <f t="shared" si="11"/>
        <v>0</v>
      </c>
      <c r="AI32" s="1582">
        <f t="shared" si="12"/>
        <v>0</v>
      </c>
      <c r="AJ32" s="1583">
        <f t="shared" si="13"/>
        <v>1</v>
      </c>
      <c r="AK32" s="1581">
        <f t="shared" si="14"/>
        <v>0</v>
      </c>
      <c r="AL32" s="1584" t="e">
        <f t="shared" si="15"/>
        <v>#DIV/0!</v>
      </c>
      <c r="AM32" s="1188"/>
      <c r="AN32" s="1585">
        <f t="shared" si="16"/>
        <v>0</v>
      </c>
      <c r="AO32" s="1583">
        <f t="shared" si="17"/>
        <v>0</v>
      </c>
      <c r="AP32" s="1583">
        <f t="shared" si="18"/>
        <v>0</v>
      </c>
      <c r="AQ32" s="1583">
        <f t="shared" si="19"/>
        <v>0</v>
      </c>
      <c r="AR32" s="1586">
        <f t="shared" si="20"/>
        <v>0</v>
      </c>
      <c r="AT32" s="1587">
        <f t="shared" si="21"/>
        <v>0</v>
      </c>
      <c r="AU32" s="1583">
        <f t="shared" si="22"/>
        <v>0</v>
      </c>
      <c r="AV32" s="1583">
        <f t="shared" si="23"/>
        <v>0</v>
      </c>
      <c r="AW32" s="1583">
        <f t="shared" si="24"/>
        <v>0</v>
      </c>
      <c r="AX32" s="1583">
        <f t="shared" si="25"/>
        <v>0</v>
      </c>
      <c r="AY32" s="1588">
        <f t="shared" si="26"/>
        <v>0</v>
      </c>
      <c r="AZ32" s="1189"/>
      <c r="BA32" s="1587">
        <f t="shared" si="27"/>
        <v>0</v>
      </c>
      <c r="BB32" s="1583">
        <f t="shared" si="28"/>
        <v>0</v>
      </c>
      <c r="BC32" s="1583">
        <f t="shared" si="29"/>
        <v>0</v>
      </c>
      <c r="BD32" s="1583">
        <f t="shared" si="30"/>
        <v>0</v>
      </c>
      <c r="BE32" s="1588">
        <f t="shared" si="31"/>
        <v>0</v>
      </c>
      <c r="BG32" s="1581">
        <f t="shared" si="32"/>
        <v>43101</v>
      </c>
      <c r="BH32" s="1581">
        <f t="shared" si="33"/>
        <v>43101</v>
      </c>
      <c r="BI32" s="1581">
        <f t="shared" si="34"/>
        <v>43101</v>
      </c>
      <c r="BJ32" s="1581">
        <f t="shared" si="35"/>
        <v>0</v>
      </c>
      <c r="BL32" s="1585">
        <f t="shared" si="36"/>
        <v>0</v>
      </c>
      <c r="BM32" s="1581">
        <f t="shared" si="37"/>
        <v>0</v>
      </c>
      <c r="BN32" s="1581">
        <f t="shared" si="38"/>
        <v>0</v>
      </c>
      <c r="BO32" s="1589">
        <f t="shared" si="39"/>
        <v>0</v>
      </c>
      <c r="BP32" s="1514"/>
    </row>
    <row r="33" spans="1:68" ht="30" customHeight="1">
      <c r="A33" s="1577"/>
      <c r="B33" s="1577"/>
      <c r="C33" s="1603"/>
      <c r="D33" s="1578"/>
      <c r="E33" s="1863"/>
      <c r="F33" s="1864"/>
      <c r="G33" s="1865">
        <f t="shared" si="0"/>
        <v>0</v>
      </c>
      <c r="H33" s="1864"/>
      <c r="I33" s="1866"/>
      <c r="J33" s="1864"/>
      <c r="K33" s="1867">
        <f t="shared" si="1"/>
        <v>0</v>
      </c>
      <c r="L33" s="1864"/>
      <c r="M33" s="1866"/>
      <c r="N33" s="1863"/>
      <c r="O33" s="1864"/>
      <c r="P33" s="1867">
        <f t="shared" si="2"/>
        <v>0</v>
      </c>
      <c r="Q33" s="1864"/>
      <c r="R33" s="1866"/>
      <c r="S33" s="1863"/>
      <c r="T33" s="1864"/>
      <c r="U33" s="1867">
        <f t="shared" si="3"/>
        <v>0</v>
      </c>
      <c r="V33" s="1864"/>
      <c r="W33" s="1866"/>
      <c r="X33" s="1863"/>
      <c r="Y33" s="1864"/>
      <c r="Z33" s="1867">
        <f t="shared" si="4"/>
        <v>0</v>
      </c>
      <c r="AA33" s="1868">
        <f t="shared" si="5"/>
        <v>0</v>
      </c>
      <c r="AB33" s="1869" t="str">
        <f t="shared" si="6"/>
        <v/>
      </c>
      <c r="AC33" s="690"/>
      <c r="AD33" s="1580" t="str">
        <f t="shared" si="7"/>
        <v/>
      </c>
      <c r="AE33" s="1581">
        <f t="shared" si="8"/>
        <v>0</v>
      </c>
      <c r="AF33" s="1581">
        <f t="shared" si="9"/>
        <v>0</v>
      </c>
      <c r="AG33" s="1581">
        <f t="shared" si="10"/>
        <v>0</v>
      </c>
      <c r="AH33" s="1581">
        <f t="shared" si="11"/>
        <v>0</v>
      </c>
      <c r="AI33" s="1582">
        <f t="shared" si="12"/>
        <v>0</v>
      </c>
      <c r="AJ33" s="1583">
        <f t="shared" si="13"/>
        <v>1</v>
      </c>
      <c r="AK33" s="1581">
        <f t="shared" si="14"/>
        <v>0</v>
      </c>
      <c r="AL33" s="1584" t="e">
        <f t="shared" si="15"/>
        <v>#DIV/0!</v>
      </c>
      <c r="AM33" s="1188"/>
      <c r="AN33" s="1585">
        <f t="shared" si="16"/>
        <v>0</v>
      </c>
      <c r="AO33" s="1583">
        <f t="shared" si="17"/>
        <v>0</v>
      </c>
      <c r="AP33" s="1583">
        <f t="shared" si="18"/>
        <v>0</v>
      </c>
      <c r="AQ33" s="1583">
        <f t="shared" si="19"/>
        <v>0</v>
      </c>
      <c r="AR33" s="1586">
        <f t="shared" si="20"/>
        <v>0</v>
      </c>
      <c r="AT33" s="1587">
        <f t="shared" si="21"/>
        <v>0</v>
      </c>
      <c r="AU33" s="1583">
        <f t="shared" si="22"/>
        <v>0</v>
      </c>
      <c r="AV33" s="1583">
        <f t="shared" si="23"/>
        <v>0</v>
      </c>
      <c r="AW33" s="1583">
        <f t="shared" si="24"/>
        <v>0</v>
      </c>
      <c r="AX33" s="1583">
        <f t="shared" si="25"/>
        <v>0</v>
      </c>
      <c r="AY33" s="1588">
        <f t="shared" si="26"/>
        <v>0</v>
      </c>
      <c r="AZ33" s="1189"/>
      <c r="BA33" s="1587">
        <f t="shared" si="27"/>
        <v>0</v>
      </c>
      <c r="BB33" s="1583">
        <f t="shared" si="28"/>
        <v>0</v>
      </c>
      <c r="BC33" s="1583">
        <f t="shared" si="29"/>
        <v>0</v>
      </c>
      <c r="BD33" s="1583">
        <f t="shared" si="30"/>
        <v>0</v>
      </c>
      <c r="BE33" s="1588">
        <f t="shared" si="31"/>
        <v>0</v>
      </c>
      <c r="BG33" s="1581">
        <f t="shared" si="32"/>
        <v>43101</v>
      </c>
      <c r="BH33" s="1581">
        <f t="shared" si="33"/>
        <v>43101</v>
      </c>
      <c r="BI33" s="1581">
        <f t="shared" si="34"/>
        <v>43101</v>
      </c>
      <c r="BJ33" s="1581">
        <f t="shared" si="35"/>
        <v>0</v>
      </c>
      <c r="BL33" s="1585">
        <f t="shared" si="36"/>
        <v>0</v>
      </c>
      <c r="BM33" s="1581">
        <f t="shared" si="37"/>
        <v>0</v>
      </c>
      <c r="BN33" s="1581">
        <f t="shared" si="38"/>
        <v>0</v>
      </c>
      <c r="BO33" s="1589">
        <f t="shared" si="39"/>
        <v>0</v>
      </c>
      <c r="BP33" s="1514"/>
    </row>
    <row r="34" spans="1:68" ht="30" customHeight="1">
      <c r="A34" s="1577"/>
      <c r="B34" s="1577"/>
      <c r="C34" s="1603"/>
      <c r="D34" s="1578"/>
      <c r="E34" s="1863"/>
      <c r="F34" s="1864"/>
      <c r="G34" s="1865">
        <f t="shared" si="0"/>
        <v>0</v>
      </c>
      <c r="H34" s="1864"/>
      <c r="I34" s="1866"/>
      <c r="J34" s="1864"/>
      <c r="K34" s="1867">
        <f t="shared" si="1"/>
        <v>0</v>
      </c>
      <c r="L34" s="1864"/>
      <c r="M34" s="1866"/>
      <c r="N34" s="1863"/>
      <c r="O34" s="1864"/>
      <c r="P34" s="1867">
        <f t="shared" si="2"/>
        <v>0</v>
      </c>
      <c r="Q34" s="1864"/>
      <c r="R34" s="1866"/>
      <c r="S34" s="1863"/>
      <c r="T34" s="1864"/>
      <c r="U34" s="1867">
        <f t="shared" si="3"/>
        <v>0</v>
      </c>
      <c r="V34" s="1864"/>
      <c r="W34" s="1866"/>
      <c r="X34" s="1863"/>
      <c r="Y34" s="1864"/>
      <c r="Z34" s="1867">
        <f t="shared" si="4"/>
        <v>0</v>
      </c>
      <c r="AA34" s="1868">
        <f t="shared" si="5"/>
        <v>0</v>
      </c>
      <c r="AB34" s="1869" t="str">
        <f t="shared" si="6"/>
        <v/>
      </c>
      <c r="AC34" s="690"/>
      <c r="AD34" s="1580" t="str">
        <f t="shared" si="7"/>
        <v/>
      </c>
      <c r="AE34" s="1581">
        <f t="shared" si="8"/>
        <v>0</v>
      </c>
      <c r="AF34" s="1581">
        <f t="shared" si="9"/>
        <v>0</v>
      </c>
      <c r="AG34" s="1581">
        <f t="shared" si="10"/>
        <v>0</v>
      </c>
      <c r="AH34" s="1581">
        <f t="shared" si="11"/>
        <v>0</v>
      </c>
      <c r="AI34" s="1582">
        <f t="shared" si="12"/>
        <v>0</v>
      </c>
      <c r="AJ34" s="1583">
        <f t="shared" si="13"/>
        <v>1</v>
      </c>
      <c r="AK34" s="1581">
        <f t="shared" si="14"/>
        <v>0</v>
      </c>
      <c r="AL34" s="1584" t="e">
        <f t="shared" si="15"/>
        <v>#DIV/0!</v>
      </c>
      <c r="AM34" s="1188"/>
      <c r="AN34" s="1585">
        <f t="shared" si="16"/>
        <v>0</v>
      </c>
      <c r="AO34" s="1583">
        <f t="shared" si="17"/>
        <v>0</v>
      </c>
      <c r="AP34" s="1583">
        <f t="shared" si="18"/>
        <v>0</v>
      </c>
      <c r="AQ34" s="1583">
        <f t="shared" si="19"/>
        <v>0</v>
      </c>
      <c r="AR34" s="1586">
        <f t="shared" si="20"/>
        <v>0</v>
      </c>
      <c r="AT34" s="1587">
        <f t="shared" si="21"/>
        <v>0</v>
      </c>
      <c r="AU34" s="1583">
        <f t="shared" si="22"/>
        <v>0</v>
      </c>
      <c r="AV34" s="1583">
        <f t="shared" si="23"/>
        <v>0</v>
      </c>
      <c r="AW34" s="1583">
        <f t="shared" si="24"/>
        <v>0</v>
      </c>
      <c r="AX34" s="1583">
        <f t="shared" si="25"/>
        <v>0</v>
      </c>
      <c r="AY34" s="1588">
        <f t="shared" si="26"/>
        <v>0</v>
      </c>
      <c r="AZ34" s="1189"/>
      <c r="BA34" s="1587">
        <f t="shared" si="27"/>
        <v>0</v>
      </c>
      <c r="BB34" s="1583">
        <f t="shared" si="28"/>
        <v>0</v>
      </c>
      <c r="BC34" s="1583">
        <f t="shared" si="29"/>
        <v>0</v>
      </c>
      <c r="BD34" s="1583">
        <f t="shared" si="30"/>
        <v>0</v>
      </c>
      <c r="BE34" s="1588">
        <f t="shared" si="31"/>
        <v>0</v>
      </c>
      <c r="BG34" s="1581">
        <f t="shared" si="32"/>
        <v>43101</v>
      </c>
      <c r="BH34" s="1581">
        <f t="shared" si="33"/>
        <v>43101</v>
      </c>
      <c r="BI34" s="1581">
        <f t="shared" si="34"/>
        <v>43101</v>
      </c>
      <c r="BJ34" s="1581">
        <f t="shared" si="35"/>
        <v>0</v>
      </c>
      <c r="BL34" s="1585">
        <f t="shared" si="36"/>
        <v>0</v>
      </c>
      <c r="BM34" s="1581">
        <f t="shared" si="37"/>
        <v>0</v>
      </c>
      <c r="BN34" s="1581">
        <f t="shared" si="38"/>
        <v>0</v>
      </c>
      <c r="BO34" s="1589">
        <f t="shared" si="39"/>
        <v>0</v>
      </c>
      <c r="BP34" s="1514"/>
    </row>
    <row r="35" spans="1:68" ht="30" customHeight="1">
      <c r="A35" s="1577"/>
      <c r="B35" s="1577"/>
      <c r="C35" s="1603"/>
      <c r="D35" s="1578"/>
      <c r="E35" s="1863"/>
      <c r="F35" s="1864"/>
      <c r="G35" s="1865">
        <f t="shared" si="0"/>
        <v>0</v>
      </c>
      <c r="H35" s="1864"/>
      <c r="I35" s="1866"/>
      <c r="J35" s="1864"/>
      <c r="K35" s="1867">
        <f t="shared" si="1"/>
        <v>0</v>
      </c>
      <c r="L35" s="1864"/>
      <c r="M35" s="1866"/>
      <c r="N35" s="1863"/>
      <c r="O35" s="1864"/>
      <c r="P35" s="1867">
        <f t="shared" si="2"/>
        <v>0</v>
      </c>
      <c r="Q35" s="1864"/>
      <c r="R35" s="1866"/>
      <c r="S35" s="1863"/>
      <c r="T35" s="1864"/>
      <c r="U35" s="1867">
        <f t="shared" si="3"/>
        <v>0</v>
      </c>
      <c r="V35" s="1864"/>
      <c r="W35" s="1866"/>
      <c r="X35" s="1863"/>
      <c r="Y35" s="1864"/>
      <c r="Z35" s="1867">
        <f t="shared" si="4"/>
        <v>0</v>
      </c>
      <c r="AA35" s="1868">
        <f t="shared" si="5"/>
        <v>0</v>
      </c>
      <c r="AB35" s="1869" t="str">
        <f t="shared" si="6"/>
        <v/>
      </c>
      <c r="AC35" s="690"/>
      <c r="AD35" s="1580" t="str">
        <f t="shared" si="7"/>
        <v/>
      </c>
      <c r="AE35" s="1581">
        <f t="shared" si="8"/>
        <v>0</v>
      </c>
      <c r="AF35" s="1581">
        <f t="shared" si="9"/>
        <v>0</v>
      </c>
      <c r="AG35" s="1581">
        <f t="shared" si="10"/>
        <v>0</v>
      </c>
      <c r="AH35" s="1581">
        <f t="shared" si="11"/>
        <v>0</v>
      </c>
      <c r="AI35" s="1582">
        <f t="shared" si="12"/>
        <v>0</v>
      </c>
      <c r="AJ35" s="1583">
        <f t="shared" si="13"/>
        <v>1</v>
      </c>
      <c r="AK35" s="1581">
        <f t="shared" si="14"/>
        <v>0</v>
      </c>
      <c r="AL35" s="1584" t="e">
        <f t="shared" si="15"/>
        <v>#DIV/0!</v>
      </c>
      <c r="AM35" s="1188"/>
      <c r="AN35" s="1585">
        <f t="shared" si="16"/>
        <v>0</v>
      </c>
      <c r="AO35" s="1583">
        <f t="shared" si="17"/>
        <v>0</v>
      </c>
      <c r="AP35" s="1583">
        <f t="shared" si="18"/>
        <v>0</v>
      </c>
      <c r="AQ35" s="1583">
        <f t="shared" si="19"/>
        <v>0</v>
      </c>
      <c r="AR35" s="1586">
        <f t="shared" si="20"/>
        <v>0</v>
      </c>
      <c r="AT35" s="1587">
        <f t="shared" si="21"/>
        <v>0</v>
      </c>
      <c r="AU35" s="1583">
        <f t="shared" si="22"/>
        <v>0</v>
      </c>
      <c r="AV35" s="1583">
        <f t="shared" si="23"/>
        <v>0</v>
      </c>
      <c r="AW35" s="1583">
        <f t="shared" si="24"/>
        <v>0</v>
      </c>
      <c r="AX35" s="1583">
        <f t="shared" si="25"/>
        <v>0</v>
      </c>
      <c r="AY35" s="1588">
        <f t="shared" si="26"/>
        <v>0</v>
      </c>
      <c r="AZ35" s="1189"/>
      <c r="BA35" s="1587">
        <f t="shared" si="27"/>
        <v>0</v>
      </c>
      <c r="BB35" s="1583">
        <f t="shared" si="28"/>
        <v>0</v>
      </c>
      <c r="BC35" s="1583">
        <f t="shared" si="29"/>
        <v>0</v>
      </c>
      <c r="BD35" s="1583">
        <f t="shared" si="30"/>
        <v>0</v>
      </c>
      <c r="BE35" s="1588">
        <f t="shared" si="31"/>
        <v>0</v>
      </c>
      <c r="BG35" s="1581">
        <f t="shared" si="32"/>
        <v>43101</v>
      </c>
      <c r="BH35" s="1581">
        <f t="shared" si="33"/>
        <v>43101</v>
      </c>
      <c r="BI35" s="1581">
        <f t="shared" si="34"/>
        <v>43101</v>
      </c>
      <c r="BJ35" s="1581">
        <f t="shared" si="35"/>
        <v>0</v>
      </c>
      <c r="BL35" s="1585">
        <f t="shared" si="36"/>
        <v>0</v>
      </c>
      <c r="BM35" s="1581">
        <f t="shared" si="37"/>
        <v>0</v>
      </c>
      <c r="BN35" s="1581">
        <f t="shared" si="38"/>
        <v>0</v>
      </c>
      <c r="BO35" s="1589">
        <f t="shared" si="39"/>
        <v>0</v>
      </c>
      <c r="BP35" s="1514"/>
    </row>
    <row r="36" spans="1:68" ht="30" customHeight="1">
      <c r="A36" s="1577"/>
      <c r="B36" s="1577"/>
      <c r="C36" s="1603"/>
      <c r="D36" s="1578"/>
      <c r="E36" s="1863"/>
      <c r="F36" s="1864"/>
      <c r="G36" s="1865">
        <f t="shared" si="0"/>
        <v>0</v>
      </c>
      <c r="H36" s="1864"/>
      <c r="I36" s="1866"/>
      <c r="J36" s="1864"/>
      <c r="K36" s="1867">
        <f t="shared" si="1"/>
        <v>0</v>
      </c>
      <c r="L36" s="1864"/>
      <c r="M36" s="1866"/>
      <c r="N36" s="1863"/>
      <c r="O36" s="1864"/>
      <c r="P36" s="1867">
        <f t="shared" si="2"/>
        <v>0</v>
      </c>
      <c r="Q36" s="1864"/>
      <c r="R36" s="1866"/>
      <c r="S36" s="1863"/>
      <c r="T36" s="1864"/>
      <c r="U36" s="1867">
        <f t="shared" si="3"/>
        <v>0</v>
      </c>
      <c r="V36" s="1864"/>
      <c r="W36" s="1866"/>
      <c r="X36" s="1863"/>
      <c r="Y36" s="1864"/>
      <c r="Z36" s="1867">
        <f t="shared" si="4"/>
        <v>0</v>
      </c>
      <c r="AA36" s="1868">
        <f t="shared" si="5"/>
        <v>0</v>
      </c>
      <c r="AB36" s="1869" t="str">
        <f t="shared" si="6"/>
        <v/>
      </c>
      <c r="AC36" s="690"/>
      <c r="AD36" s="1580" t="str">
        <f t="shared" si="7"/>
        <v/>
      </c>
      <c r="AE36" s="1581">
        <f t="shared" si="8"/>
        <v>0</v>
      </c>
      <c r="AF36" s="1581">
        <f t="shared" si="9"/>
        <v>0</v>
      </c>
      <c r="AG36" s="1581">
        <f t="shared" si="10"/>
        <v>0</v>
      </c>
      <c r="AH36" s="1581">
        <f t="shared" si="11"/>
        <v>0</v>
      </c>
      <c r="AI36" s="1582">
        <f t="shared" si="12"/>
        <v>0</v>
      </c>
      <c r="AJ36" s="1583">
        <f t="shared" si="13"/>
        <v>1</v>
      </c>
      <c r="AK36" s="1581">
        <f t="shared" si="14"/>
        <v>0</v>
      </c>
      <c r="AL36" s="1584" t="e">
        <f t="shared" si="15"/>
        <v>#DIV/0!</v>
      </c>
      <c r="AM36" s="1188"/>
      <c r="AN36" s="1585">
        <f t="shared" si="16"/>
        <v>0</v>
      </c>
      <c r="AO36" s="1583">
        <f t="shared" si="17"/>
        <v>0</v>
      </c>
      <c r="AP36" s="1583">
        <f t="shared" si="18"/>
        <v>0</v>
      </c>
      <c r="AQ36" s="1583">
        <f t="shared" si="19"/>
        <v>0</v>
      </c>
      <c r="AR36" s="1586">
        <f t="shared" si="20"/>
        <v>0</v>
      </c>
      <c r="AT36" s="1587">
        <f t="shared" si="21"/>
        <v>0</v>
      </c>
      <c r="AU36" s="1583">
        <f t="shared" si="22"/>
        <v>0</v>
      </c>
      <c r="AV36" s="1583">
        <f t="shared" si="23"/>
        <v>0</v>
      </c>
      <c r="AW36" s="1583">
        <f t="shared" si="24"/>
        <v>0</v>
      </c>
      <c r="AX36" s="1583">
        <f t="shared" si="25"/>
        <v>0</v>
      </c>
      <c r="AY36" s="1588">
        <f t="shared" si="26"/>
        <v>0</v>
      </c>
      <c r="AZ36" s="1189"/>
      <c r="BA36" s="1587">
        <f t="shared" si="27"/>
        <v>0</v>
      </c>
      <c r="BB36" s="1583">
        <f t="shared" si="28"/>
        <v>0</v>
      </c>
      <c r="BC36" s="1583">
        <f t="shared" si="29"/>
        <v>0</v>
      </c>
      <c r="BD36" s="1583">
        <f t="shared" si="30"/>
        <v>0</v>
      </c>
      <c r="BE36" s="1588">
        <f t="shared" si="31"/>
        <v>0</v>
      </c>
      <c r="BG36" s="1581">
        <f t="shared" si="32"/>
        <v>43101</v>
      </c>
      <c r="BH36" s="1581">
        <f t="shared" si="33"/>
        <v>43101</v>
      </c>
      <c r="BI36" s="1581">
        <f t="shared" si="34"/>
        <v>43101</v>
      </c>
      <c r="BJ36" s="1581">
        <f t="shared" si="35"/>
        <v>0</v>
      </c>
      <c r="BL36" s="1585">
        <f t="shared" si="36"/>
        <v>0</v>
      </c>
      <c r="BM36" s="1581">
        <f t="shared" si="37"/>
        <v>0</v>
      </c>
      <c r="BN36" s="1581">
        <f t="shared" si="38"/>
        <v>0</v>
      </c>
      <c r="BO36" s="1589">
        <f t="shared" si="39"/>
        <v>0</v>
      </c>
      <c r="BP36" s="1514"/>
    </row>
    <row r="37" spans="1:68" ht="30" customHeight="1">
      <c r="A37" s="1577"/>
      <c r="B37" s="1577"/>
      <c r="C37" s="1603"/>
      <c r="D37" s="1578"/>
      <c r="E37" s="1863"/>
      <c r="F37" s="1864"/>
      <c r="G37" s="1865">
        <f t="shared" si="0"/>
        <v>0</v>
      </c>
      <c r="H37" s="1864"/>
      <c r="I37" s="1866"/>
      <c r="J37" s="1864"/>
      <c r="K37" s="1867">
        <f t="shared" si="1"/>
        <v>0</v>
      </c>
      <c r="L37" s="1864"/>
      <c r="M37" s="1866"/>
      <c r="N37" s="1863"/>
      <c r="O37" s="1864"/>
      <c r="P37" s="1867">
        <f t="shared" si="2"/>
        <v>0</v>
      </c>
      <c r="Q37" s="1864"/>
      <c r="R37" s="1866"/>
      <c r="S37" s="1863"/>
      <c r="T37" s="1864"/>
      <c r="U37" s="1867">
        <f t="shared" si="3"/>
        <v>0</v>
      </c>
      <c r="V37" s="1864"/>
      <c r="W37" s="1866"/>
      <c r="X37" s="1863"/>
      <c r="Y37" s="1864"/>
      <c r="Z37" s="1867">
        <f t="shared" si="4"/>
        <v>0</v>
      </c>
      <c r="AA37" s="1868">
        <f t="shared" si="5"/>
        <v>0</v>
      </c>
      <c r="AB37" s="1869" t="str">
        <f t="shared" si="6"/>
        <v/>
      </c>
      <c r="AC37" s="690"/>
      <c r="AD37" s="1580" t="str">
        <f t="shared" si="7"/>
        <v/>
      </c>
      <c r="AE37" s="1581">
        <f t="shared" si="8"/>
        <v>0</v>
      </c>
      <c r="AF37" s="1581">
        <f t="shared" si="9"/>
        <v>0</v>
      </c>
      <c r="AG37" s="1581">
        <f t="shared" si="10"/>
        <v>0</v>
      </c>
      <c r="AH37" s="1581">
        <f t="shared" si="11"/>
        <v>0</v>
      </c>
      <c r="AI37" s="1582">
        <f t="shared" si="12"/>
        <v>0</v>
      </c>
      <c r="AJ37" s="1583">
        <f t="shared" si="13"/>
        <v>1</v>
      </c>
      <c r="AK37" s="1581">
        <f t="shared" si="14"/>
        <v>0</v>
      </c>
      <c r="AL37" s="1584" t="e">
        <f t="shared" si="15"/>
        <v>#DIV/0!</v>
      </c>
      <c r="AM37" s="1188"/>
      <c r="AN37" s="1585">
        <f t="shared" si="16"/>
        <v>0</v>
      </c>
      <c r="AO37" s="1583">
        <f t="shared" si="17"/>
        <v>0</v>
      </c>
      <c r="AP37" s="1583">
        <f t="shared" si="18"/>
        <v>0</v>
      </c>
      <c r="AQ37" s="1583">
        <f t="shared" si="19"/>
        <v>0</v>
      </c>
      <c r="AR37" s="1586">
        <f t="shared" si="20"/>
        <v>0</v>
      </c>
      <c r="AT37" s="1587">
        <f t="shared" si="21"/>
        <v>0</v>
      </c>
      <c r="AU37" s="1583">
        <f t="shared" si="22"/>
        <v>0</v>
      </c>
      <c r="AV37" s="1583">
        <f t="shared" si="23"/>
        <v>0</v>
      </c>
      <c r="AW37" s="1583">
        <f t="shared" si="24"/>
        <v>0</v>
      </c>
      <c r="AX37" s="1583">
        <f t="shared" si="25"/>
        <v>0</v>
      </c>
      <c r="AY37" s="1588">
        <f t="shared" si="26"/>
        <v>0</v>
      </c>
      <c r="AZ37" s="1189"/>
      <c r="BA37" s="1587">
        <f t="shared" si="27"/>
        <v>0</v>
      </c>
      <c r="BB37" s="1583">
        <f t="shared" si="28"/>
        <v>0</v>
      </c>
      <c r="BC37" s="1583">
        <f t="shared" si="29"/>
        <v>0</v>
      </c>
      <c r="BD37" s="1583">
        <f t="shared" si="30"/>
        <v>0</v>
      </c>
      <c r="BE37" s="1588">
        <f t="shared" si="31"/>
        <v>0</v>
      </c>
      <c r="BG37" s="1581">
        <f t="shared" si="32"/>
        <v>43101</v>
      </c>
      <c r="BH37" s="1581">
        <f t="shared" si="33"/>
        <v>43101</v>
      </c>
      <c r="BI37" s="1581">
        <f t="shared" si="34"/>
        <v>43101</v>
      </c>
      <c r="BJ37" s="1581">
        <f t="shared" si="35"/>
        <v>0</v>
      </c>
      <c r="BL37" s="1585">
        <f t="shared" si="36"/>
        <v>0</v>
      </c>
      <c r="BM37" s="1581">
        <f t="shared" si="37"/>
        <v>0</v>
      </c>
      <c r="BN37" s="1581">
        <f t="shared" si="38"/>
        <v>0</v>
      </c>
      <c r="BO37" s="1589">
        <f t="shared" si="39"/>
        <v>0</v>
      </c>
      <c r="BP37" s="1514"/>
    </row>
    <row r="38" spans="1:68" ht="30" customHeight="1">
      <c r="A38" s="1577"/>
      <c r="B38" s="1577"/>
      <c r="C38" s="1603"/>
      <c r="D38" s="1578"/>
      <c r="E38" s="1863"/>
      <c r="F38" s="1864"/>
      <c r="G38" s="1865">
        <f t="shared" si="0"/>
        <v>0</v>
      </c>
      <c r="H38" s="1864"/>
      <c r="I38" s="1866"/>
      <c r="J38" s="1864"/>
      <c r="K38" s="1867">
        <f t="shared" si="1"/>
        <v>0</v>
      </c>
      <c r="L38" s="1864"/>
      <c r="M38" s="1866"/>
      <c r="N38" s="1863"/>
      <c r="O38" s="1864"/>
      <c r="P38" s="1867">
        <f t="shared" si="2"/>
        <v>0</v>
      </c>
      <c r="Q38" s="1864"/>
      <c r="R38" s="1866"/>
      <c r="S38" s="1863"/>
      <c r="T38" s="1864"/>
      <c r="U38" s="1867">
        <f t="shared" si="3"/>
        <v>0</v>
      </c>
      <c r="V38" s="1864"/>
      <c r="W38" s="1866"/>
      <c r="X38" s="1863"/>
      <c r="Y38" s="1864"/>
      <c r="Z38" s="1867">
        <f t="shared" si="4"/>
        <v>0</v>
      </c>
      <c r="AA38" s="1868">
        <f t="shared" si="5"/>
        <v>0</v>
      </c>
      <c r="AB38" s="1869" t="str">
        <f t="shared" si="6"/>
        <v/>
      </c>
      <c r="AC38" s="690"/>
      <c r="AD38" s="1580" t="str">
        <f t="shared" si="7"/>
        <v/>
      </c>
      <c r="AE38" s="1581">
        <f t="shared" si="8"/>
        <v>0</v>
      </c>
      <c r="AF38" s="1581">
        <f t="shared" si="9"/>
        <v>0</v>
      </c>
      <c r="AG38" s="1581">
        <f t="shared" si="10"/>
        <v>0</v>
      </c>
      <c r="AH38" s="1581">
        <f t="shared" si="11"/>
        <v>0</v>
      </c>
      <c r="AI38" s="1582">
        <f t="shared" si="12"/>
        <v>0</v>
      </c>
      <c r="AJ38" s="1583">
        <f t="shared" si="13"/>
        <v>1</v>
      </c>
      <c r="AK38" s="1581">
        <f t="shared" si="14"/>
        <v>0</v>
      </c>
      <c r="AL38" s="1584" t="e">
        <f t="shared" si="15"/>
        <v>#DIV/0!</v>
      </c>
      <c r="AM38" s="1188"/>
      <c r="AN38" s="1585">
        <f t="shared" si="16"/>
        <v>0</v>
      </c>
      <c r="AO38" s="1583">
        <f t="shared" si="17"/>
        <v>0</v>
      </c>
      <c r="AP38" s="1583">
        <f t="shared" si="18"/>
        <v>0</v>
      </c>
      <c r="AQ38" s="1583">
        <f t="shared" si="19"/>
        <v>0</v>
      </c>
      <c r="AR38" s="1586">
        <f t="shared" si="20"/>
        <v>0</v>
      </c>
      <c r="AT38" s="1587">
        <f t="shared" si="21"/>
        <v>0</v>
      </c>
      <c r="AU38" s="1583">
        <f t="shared" si="22"/>
        <v>0</v>
      </c>
      <c r="AV38" s="1583">
        <f t="shared" si="23"/>
        <v>0</v>
      </c>
      <c r="AW38" s="1583">
        <f t="shared" si="24"/>
        <v>0</v>
      </c>
      <c r="AX38" s="1583">
        <f t="shared" si="25"/>
        <v>0</v>
      </c>
      <c r="AY38" s="1588">
        <f t="shared" si="26"/>
        <v>0</v>
      </c>
      <c r="AZ38" s="1189"/>
      <c r="BA38" s="1587">
        <f t="shared" si="27"/>
        <v>0</v>
      </c>
      <c r="BB38" s="1583">
        <f t="shared" si="28"/>
        <v>0</v>
      </c>
      <c r="BC38" s="1583">
        <f t="shared" si="29"/>
        <v>0</v>
      </c>
      <c r="BD38" s="1583">
        <f t="shared" si="30"/>
        <v>0</v>
      </c>
      <c r="BE38" s="1588">
        <f t="shared" si="31"/>
        <v>0</v>
      </c>
      <c r="BG38" s="1581">
        <f t="shared" si="32"/>
        <v>43101</v>
      </c>
      <c r="BH38" s="1581">
        <f t="shared" si="33"/>
        <v>43101</v>
      </c>
      <c r="BI38" s="1581">
        <f t="shared" si="34"/>
        <v>43101</v>
      </c>
      <c r="BJ38" s="1581">
        <f t="shared" si="35"/>
        <v>0</v>
      </c>
      <c r="BL38" s="1585">
        <f t="shared" si="36"/>
        <v>0</v>
      </c>
      <c r="BM38" s="1581">
        <f t="shared" si="37"/>
        <v>0</v>
      </c>
      <c r="BN38" s="1581">
        <f t="shared" si="38"/>
        <v>0</v>
      </c>
      <c r="BO38" s="1589">
        <f t="shared" si="39"/>
        <v>0</v>
      </c>
      <c r="BP38" s="1514"/>
    </row>
    <row r="39" spans="1:68" ht="30" customHeight="1">
      <c r="A39" s="1577"/>
      <c r="B39" s="1577"/>
      <c r="C39" s="1603"/>
      <c r="D39" s="1578"/>
      <c r="E39" s="1863"/>
      <c r="F39" s="1864"/>
      <c r="G39" s="1865">
        <f t="shared" si="0"/>
        <v>0</v>
      </c>
      <c r="H39" s="1864"/>
      <c r="I39" s="1866"/>
      <c r="J39" s="1864"/>
      <c r="K39" s="1867">
        <f t="shared" si="1"/>
        <v>0</v>
      </c>
      <c r="L39" s="1864"/>
      <c r="M39" s="1866"/>
      <c r="N39" s="1863"/>
      <c r="O39" s="1864"/>
      <c r="P39" s="1867">
        <f t="shared" si="2"/>
        <v>0</v>
      </c>
      <c r="Q39" s="1864"/>
      <c r="R39" s="1866"/>
      <c r="S39" s="1863"/>
      <c r="T39" s="1864"/>
      <c r="U39" s="1867">
        <f t="shared" si="3"/>
        <v>0</v>
      </c>
      <c r="V39" s="1864"/>
      <c r="W39" s="1866"/>
      <c r="X39" s="1863"/>
      <c r="Y39" s="1864"/>
      <c r="Z39" s="1867">
        <f t="shared" si="4"/>
        <v>0</v>
      </c>
      <c r="AA39" s="1868">
        <f t="shared" si="5"/>
        <v>0</v>
      </c>
      <c r="AB39" s="1869" t="str">
        <f t="shared" si="6"/>
        <v/>
      </c>
      <c r="AC39" s="690"/>
      <c r="AD39" s="1580" t="str">
        <f t="shared" si="7"/>
        <v/>
      </c>
      <c r="AE39" s="1581">
        <f t="shared" si="8"/>
        <v>0</v>
      </c>
      <c r="AF39" s="1581">
        <f t="shared" si="9"/>
        <v>0</v>
      </c>
      <c r="AG39" s="1581">
        <f t="shared" si="10"/>
        <v>0</v>
      </c>
      <c r="AH39" s="1581">
        <f t="shared" si="11"/>
        <v>0</v>
      </c>
      <c r="AI39" s="1582">
        <f t="shared" si="12"/>
        <v>0</v>
      </c>
      <c r="AJ39" s="1583">
        <f t="shared" si="13"/>
        <v>1</v>
      </c>
      <c r="AK39" s="1581">
        <f t="shared" si="14"/>
        <v>0</v>
      </c>
      <c r="AL39" s="1584" t="e">
        <f t="shared" si="15"/>
        <v>#DIV/0!</v>
      </c>
      <c r="AM39" s="1188"/>
      <c r="AN39" s="1585">
        <f t="shared" si="16"/>
        <v>0</v>
      </c>
      <c r="AO39" s="1583">
        <f t="shared" si="17"/>
        <v>0</v>
      </c>
      <c r="AP39" s="1583">
        <f t="shared" si="18"/>
        <v>0</v>
      </c>
      <c r="AQ39" s="1583">
        <f t="shared" si="19"/>
        <v>0</v>
      </c>
      <c r="AR39" s="1586">
        <f t="shared" si="20"/>
        <v>0</v>
      </c>
      <c r="AT39" s="1587">
        <f t="shared" si="21"/>
        <v>0</v>
      </c>
      <c r="AU39" s="1583">
        <f t="shared" si="22"/>
        <v>0</v>
      </c>
      <c r="AV39" s="1583">
        <f t="shared" si="23"/>
        <v>0</v>
      </c>
      <c r="AW39" s="1583">
        <f t="shared" si="24"/>
        <v>0</v>
      </c>
      <c r="AX39" s="1583">
        <f t="shared" si="25"/>
        <v>0</v>
      </c>
      <c r="AY39" s="1588">
        <f t="shared" si="26"/>
        <v>0</v>
      </c>
      <c r="AZ39" s="1189"/>
      <c r="BA39" s="1587">
        <f t="shared" si="27"/>
        <v>0</v>
      </c>
      <c r="BB39" s="1583">
        <f t="shared" si="28"/>
        <v>0</v>
      </c>
      <c r="BC39" s="1583">
        <f t="shared" si="29"/>
        <v>0</v>
      </c>
      <c r="BD39" s="1583">
        <f t="shared" si="30"/>
        <v>0</v>
      </c>
      <c r="BE39" s="1588">
        <f t="shared" si="31"/>
        <v>0</v>
      </c>
      <c r="BG39" s="1581">
        <f t="shared" si="32"/>
        <v>43101</v>
      </c>
      <c r="BH39" s="1581">
        <f t="shared" si="33"/>
        <v>43101</v>
      </c>
      <c r="BI39" s="1581">
        <f t="shared" si="34"/>
        <v>43101</v>
      </c>
      <c r="BJ39" s="1581">
        <f t="shared" si="35"/>
        <v>0</v>
      </c>
      <c r="BL39" s="1585">
        <f t="shared" si="36"/>
        <v>0</v>
      </c>
      <c r="BM39" s="1581">
        <f t="shared" si="37"/>
        <v>0</v>
      </c>
      <c r="BN39" s="1581">
        <f t="shared" si="38"/>
        <v>0</v>
      </c>
      <c r="BO39" s="1589">
        <f t="shared" si="39"/>
        <v>0</v>
      </c>
      <c r="BP39" s="1514"/>
    </row>
    <row r="40" spans="1:68" ht="30" customHeight="1">
      <c r="A40" s="1577"/>
      <c r="B40" s="1577"/>
      <c r="C40" s="1603"/>
      <c r="D40" s="1578"/>
      <c r="E40" s="1863"/>
      <c r="F40" s="1864"/>
      <c r="G40" s="1865">
        <f t="shared" si="0"/>
        <v>0</v>
      </c>
      <c r="H40" s="1864"/>
      <c r="I40" s="1866"/>
      <c r="J40" s="1864"/>
      <c r="K40" s="1867">
        <f t="shared" si="1"/>
        <v>0</v>
      </c>
      <c r="L40" s="1864"/>
      <c r="M40" s="1866"/>
      <c r="N40" s="1863"/>
      <c r="O40" s="1864"/>
      <c r="P40" s="1867">
        <f t="shared" si="2"/>
        <v>0</v>
      </c>
      <c r="Q40" s="1864"/>
      <c r="R40" s="1866"/>
      <c r="S40" s="1863"/>
      <c r="T40" s="1864"/>
      <c r="U40" s="1867">
        <f t="shared" si="3"/>
        <v>0</v>
      </c>
      <c r="V40" s="1864"/>
      <c r="W40" s="1866"/>
      <c r="X40" s="1863"/>
      <c r="Y40" s="1864"/>
      <c r="Z40" s="1867">
        <f t="shared" si="4"/>
        <v>0</v>
      </c>
      <c r="AA40" s="1868">
        <f t="shared" si="5"/>
        <v>0</v>
      </c>
      <c r="AB40" s="1869" t="str">
        <f t="shared" si="6"/>
        <v/>
      </c>
      <c r="AC40" s="690"/>
      <c r="AD40" s="1580" t="str">
        <f t="shared" si="7"/>
        <v/>
      </c>
      <c r="AE40" s="1581">
        <f t="shared" si="8"/>
        <v>0</v>
      </c>
      <c r="AF40" s="1581">
        <f t="shared" si="9"/>
        <v>0</v>
      </c>
      <c r="AG40" s="1581">
        <f t="shared" si="10"/>
        <v>0</v>
      </c>
      <c r="AH40" s="1581">
        <f t="shared" si="11"/>
        <v>0</v>
      </c>
      <c r="AI40" s="1582">
        <f t="shared" si="12"/>
        <v>0</v>
      </c>
      <c r="AJ40" s="1583">
        <f t="shared" si="13"/>
        <v>1</v>
      </c>
      <c r="AK40" s="1581">
        <f t="shared" si="14"/>
        <v>0</v>
      </c>
      <c r="AL40" s="1584" t="e">
        <f t="shared" si="15"/>
        <v>#DIV/0!</v>
      </c>
      <c r="AM40" s="1188"/>
      <c r="AN40" s="1585">
        <f t="shared" si="16"/>
        <v>0</v>
      </c>
      <c r="AO40" s="1583">
        <f t="shared" si="17"/>
        <v>0</v>
      </c>
      <c r="AP40" s="1583">
        <f t="shared" si="18"/>
        <v>0</v>
      </c>
      <c r="AQ40" s="1583">
        <f t="shared" si="19"/>
        <v>0</v>
      </c>
      <c r="AR40" s="1586">
        <f t="shared" si="20"/>
        <v>0</v>
      </c>
      <c r="AT40" s="1587">
        <f t="shared" si="21"/>
        <v>0</v>
      </c>
      <c r="AU40" s="1583">
        <f t="shared" si="22"/>
        <v>0</v>
      </c>
      <c r="AV40" s="1583">
        <f t="shared" si="23"/>
        <v>0</v>
      </c>
      <c r="AW40" s="1583">
        <f t="shared" si="24"/>
        <v>0</v>
      </c>
      <c r="AX40" s="1583">
        <f t="shared" si="25"/>
        <v>0</v>
      </c>
      <c r="AY40" s="1588">
        <f t="shared" si="26"/>
        <v>0</v>
      </c>
      <c r="AZ40" s="1189"/>
      <c r="BA40" s="1587">
        <f t="shared" si="27"/>
        <v>0</v>
      </c>
      <c r="BB40" s="1583">
        <f t="shared" si="28"/>
        <v>0</v>
      </c>
      <c r="BC40" s="1583">
        <f t="shared" si="29"/>
        <v>0</v>
      </c>
      <c r="BD40" s="1583">
        <f t="shared" si="30"/>
        <v>0</v>
      </c>
      <c r="BE40" s="1588">
        <f t="shared" si="31"/>
        <v>0</v>
      </c>
      <c r="BG40" s="1581">
        <f t="shared" si="32"/>
        <v>43101</v>
      </c>
      <c r="BH40" s="1581">
        <f t="shared" si="33"/>
        <v>43101</v>
      </c>
      <c r="BI40" s="1581">
        <f t="shared" si="34"/>
        <v>43101</v>
      </c>
      <c r="BJ40" s="1581">
        <f t="shared" si="35"/>
        <v>0</v>
      </c>
      <c r="BL40" s="1585">
        <f t="shared" si="36"/>
        <v>0</v>
      </c>
      <c r="BM40" s="1581">
        <f t="shared" si="37"/>
        <v>0</v>
      </c>
      <c r="BN40" s="1581">
        <f t="shared" si="38"/>
        <v>0</v>
      </c>
      <c r="BO40" s="1589">
        <f t="shared" si="39"/>
        <v>0</v>
      </c>
      <c r="BP40" s="1514"/>
    </row>
    <row r="41" spans="1:68" ht="30" customHeight="1">
      <c r="A41" s="1577"/>
      <c r="B41" s="1577"/>
      <c r="C41" s="1603"/>
      <c r="D41" s="1578"/>
      <c r="E41" s="1863"/>
      <c r="F41" s="1864"/>
      <c r="G41" s="1865">
        <f t="shared" si="0"/>
        <v>0</v>
      </c>
      <c r="H41" s="1864"/>
      <c r="I41" s="1866"/>
      <c r="J41" s="1864"/>
      <c r="K41" s="1867">
        <f t="shared" si="1"/>
        <v>0</v>
      </c>
      <c r="L41" s="1864"/>
      <c r="M41" s="1866"/>
      <c r="N41" s="1863"/>
      <c r="O41" s="1864"/>
      <c r="P41" s="1867">
        <f t="shared" si="2"/>
        <v>0</v>
      </c>
      <c r="Q41" s="1864"/>
      <c r="R41" s="1866"/>
      <c r="S41" s="1863"/>
      <c r="T41" s="1864"/>
      <c r="U41" s="1867">
        <f t="shared" si="3"/>
        <v>0</v>
      </c>
      <c r="V41" s="1864"/>
      <c r="W41" s="1866"/>
      <c r="X41" s="1863"/>
      <c r="Y41" s="1864"/>
      <c r="Z41" s="1867">
        <f t="shared" si="4"/>
        <v>0</v>
      </c>
      <c r="AA41" s="1868">
        <f t="shared" si="5"/>
        <v>0</v>
      </c>
      <c r="AB41" s="1869" t="str">
        <f t="shared" si="6"/>
        <v/>
      </c>
      <c r="AC41" s="690"/>
      <c r="AD41" s="1580" t="str">
        <f t="shared" si="7"/>
        <v/>
      </c>
      <c r="AE41" s="1581">
        <f t="shared" si="8"/>
        <v>0</v>
      </c>
      <c r="AF41" s="1581">
        <f t="shared" si="9"/>
        <v>0</v>
      </c>
      <c r="AG41" s="1581">
        <f t="shared" si="10"/>
        <v>0</v>
      </c>
      <c r="AH41" s="1581">
        <f t="shared" si="11"/>
        <v>0</v>
      </c>
      <c r="AI41" s="1582">
        <f t="shared" si="12"/>
        <v>0</v>
      </c>
      <c r="AJ41" s="1583">
        <f t="shared" si="13"/>
        <v>1</v>
      </c>
      <c r="AK41" s="1581">
        <f t="shared" si="14"/>
        <v>0</v>
      </c>
      <c r="AL41" s="1584" t="e">
        <f t="shared" si="15"/>
        <v>#DIV/0!</v>
      </c>
      <c r="AM41" s="1188"/>
      <c r="AN41" s="1585">
        <f t="shared" si="16"/>
        <v>0</v>
      </c>
      <c r="AO41" s="1583">
        <f t="shared" si="17"/>
        <v>0</v>
      </c>
      <c r="AP41" s="1583">
        <f t="shared" si="18"/>
        <v>0</v>
      </c>
      <c r="AQ41" s="1583">
        <f t="shared" si="19"/>
        <v>0</v>
      </c>
      <c r="AR41" s="1586">
        <f t="shared" si="20"/>
        <v>0</v>
      </c>
      <c r="AT41" s="1587">
        <f t="shared" si="21"/>
        <v>0</v>
      </c>
      <c r="AU41" s="1583">
        <f t="shared" si="22"/>
        <v>0</v>
      </c>
      <c r="AV41" s="1583">
        <f t="shared" si="23"/>
        <v>0</v>
      </c>
      <c r="AW41" s="1583">
        <f t="shared" si="24"/>
        <v>0</v>
      </c>
      <c r="AX41" s="1583">
        <f t="shared" si="25"/>
        <v>0</v>
      </c>
      <c r="AY41" s="1588">
        <f t="shared" si="26"/>
        <v>0</v>
      </c>
      <c r="AZ41" s="1189"/>
      <c r="BA41" s="1587">
        <f t="shared" si="27"/>
        <v>0</v>
      </c>
      <c r="BB41" s="1583">
        <f t="shared" si="28"/>
        <v>0</v>
      </c>
      <c r="BC41" s="1583">
        <f t="shared" si="29"/>
        <v>0</v>
      </c>
      <c r="BD41" s="1583">
        <f t="shared" si="30"/>
        <v>0</v>
      </c>
      <c r="BE41" s="1588">
        <f t="shared" si="31"/>
        <v>0</v>
      </c>
      <c r="BG41" s="1581">
        <f t="shared" si="32"/>
        <v>43101</v>
      </c>
      <c r="BH41" s="1581">
        <f t="shared" si="33"/>
        <v>43101</v>
      </c>
      <c r="BI41" s="1581">
        <f t="shared" si="34"/>
        <v>43101</v>
      </c>
      <c r="BJ41" s="1581">
        <f t="shared" si="35"/>
        <v>0</v>
      </c>
      <c r="BL41" s="1585">
        <f t="shared" si="36"/>
        <v>0</v>
      </c>
      <c r="BM41" s="1581">
        <f t="shared" si="37"/>
        <v>0</v>
      </c>
      <c r="BN41" s="1581">
        <f t="shared" si="38"/>
        <v>0</v>
      </c>
      <c r="BO41" s="1589">
        <f t="shared" si="39"/>
        <v>0</v>
      </c>
      <c r="BP41" s="1514"/>
    </row>
    <row r="42" spans="1:68" ht="30" customHeight="1">
      <c r="A42" s="1577"/>
      <c r="B42" s="1577"/>
      <c r="C42" s="1603"/>
      <c r="D42" s="1578"/>
      <c r="E42" s="1863"/>
      <c r="F42" s="1864"/>
      <c r="G42" s="1865">
        <f t="shared" si="0"/>
        <v>0</v>
      </c>
      <c r="H42" s="1864"/>
      <c r="I42" s="1866"/>
      <c r="J42" s="1864"/>
      <c r="K42" s="1867">
        <f t="shared" si="1"/>
        <v>0</v>
      </c>
      <c r="L42" s="1864"/>
      <c r="M42" s="1866"/>
      <c r="N42" s="1863"/>
      <c r="O42" s="1864"/>
      <c r="P42" s="1867">
        <f t="shared" si="2"/>
        <v>0</v>
      </c>
      <c r="Q42" s="1864"/>
      <c r="R42" s="1866"/>
      <c r="S42" s="1863"/>
      <c r="T42" s="1864"/>
      <c r="U42" s="1867">
        <f t="shared" si="3"/>
        <v>0</v>
      </c>
      <c r="V42" s="1864"/>
      <c r="W42" s="1866"/>
      <c r="X42" s="1863"/>
      <c r="Y42" s="1864"/>
      <c r="Z42" s="1867">
        <f t="shared" si="4"/>
        <v>0</v>
      </c>
      <c r="AA42" s="1868">
        <f t="shared" si="5"/>
        <v>0</v>
      </c>
      <c r="AB42" s="1869" t="str">
        <f t="shared" si="6"/>
        <v/>
      </c>
      <c r="AC42" s="690"/>
      <c r="AD42" s="1580" t="str">
        <f t="shared" si="7"/>
        <v/>
      </c>
      <c r="AE42" s="1581">
        <f t="shared" si="8"/>
        <v>0</v>
      </c>
      <c r="AF42" s="1581">
        <f t="shared" si="9"/>
        <v>0</v>
      </c>
      <c r="AG42" s="1581">
        <f t="shared" si="10"/>
        <v>0</v>
      </c>
      <c r="AH42" s="1581">
        <f t="shared" si="11"/>
        <v>0</v>
      </c>
      <c r="AI42" s="1582">
        <f t="shared" si="12"/>
        <v>0</v>
      </c>
      <c r="AJ42" s="1583">
        <f t="shared" si="13"/>
        <v>1</v>
      </c>
      <c r="AK42" s="1581">
        <f t="shared" si="14"/>
        <v>0</v>
      </c>
      <c r="AL42" s="1584" t="e">
        <f t="shared" si="15"/>
        <v>#DIV/0!</v>
      </c>
      <c r="AM42" s="1188"/>
      <c r="AN42" s="1585">
        <f t="shared" si="16"/>
        <v>0</v>
      </c>
      <c r="AO42" s="1583">
        <f t="shared" si="17"/>
        <v>0</v>
      </c>
      <c r="AP42" s="1583">
        <f t="shared" si="18"/>
        <v>0</v>
      </c>
      <c r="AQ42" s="1583">
        <f t="shared" si="19"/>
        <v>0</v>
      </c>
      <c r="AR42" s="1586">
        <f t="shared" si="20"/>
        <v>0</v>
      </c>
      <c r="AT42" s="1587">
        <f t="shared" si="21"/>
        <v>0</v>
      </c>
      <c r="AU42" s="1583">
        <f t="shared" si="22"/>
        <v>0</v>
      </c>
      <c r="AV42" s="1583">
        <f t="shared" si="23"/>
        <v>0</v>
      </c>
      <c r="AW42" s="1583">
        <f t="shared" si="24"/>
        <v>0</v>
      </c>
      <c r="AX42" s="1583">
        <f t="shared" si="25"/>
        <v>0</v>
      </c>
      <c r="AY42" s="1588">
        <f t="shared" si="26"/>
        <v>0</v>
      </c>
      <c r="AZ42" s="1189"/>
      <c r="BA42" s="1587">
        <f t="shared" si="27"/>
        <v>0</v>
      </c>
      <c r="BB42" s="1583">
        <f t="shared" si="28"/>
        <v>0</v>
      </c>
      <c r="BC42" s="1583">
        <f t="shared" si="29"/>
        <v>0</v>
      </c>
      <c r="BD42" s="1583">
        <f t="shared" si="30"/>
        <v>0</v>
      </c>
      <c r="BE42" s="1588">
        <f t="shared" si="31"/>
        <v>0</v>
      </c>
      <c r="BG42" s="1581">
        <f t="shared" si="32"/>
        <v>43101</v>
      </c>
      <c r="BH42" s="1581">
        <f t="shared" si="33"/>
        <v>43101</v>
      </c>
      <c r="BI42" s="1581">
        <f t="shared" si="34"/>
        <v>43101</v>
      </c>
      <c r="BJ42" s="1581">
        <f t="shared" si="35"/>
        <v>0</v>
      </c>
      <c r="BL42" s="1585">
        <f t="shared" si="36"/>
        <v>0</v>
      </c>
      <c r="BM42" s="1581">
        <f t="shared" si="37"/>
        <v>0</v>
      </c>
      <c r="BN42" s="1581">
        <f t="shared" si="38"/>
        <v>0</v>
      </c>
      <c r="BO42" s="1589">
        <f t="shared" si="39"/>
        <v>0</v>
      </c>
      <c r="BP42" s="1514"/>
    </row>
    <row r="43" spans="1:68" ht="30" customHeight="1">
      <c r="A43" s="1577"/>
      <c r="B43" s="1577"/>
      <c r="C43" s="1603"/>
      <c r="D43" s="1578"/>
      <c r="E43" s="1863"/>
      <c r="F43" s="1864"/>
      <c r="G43" s="1865">
        <f t="shared" si="0"/>
        <v>0</v>
      </c>
      <c r="H43" s="1864"/>
      <c r="I43" s="1866"/>
      <c r="J43" s="1864"/>
      <c r="K43" s="1867">
        <f t="shared" si="1"/>
        <v>0</v>
      </c>
      <c r="L43" s="1864"/>
      <c r="M43" s="1866"/>
      <c r="N43" s="1863"/>
      <c r="O43" s="1864"/>
      <c r="P43" s="1867">
        <f t="shared" si="2"/>
        <v>0</v>
      </c>
      <c r="Q43" s="1864"/>
      <c r="R43" s="1866"/>
      <c r="S43" s="1863"/>
      <c r="T43" s="1864"/>
      <c r="U43" s="1867">
        <f t="shared" si="3"/>
        <v>0</v>
      </c>
      <c r="V43" s="1864"/>
      <c r="W43" s="1866"/>
      <c r="X43" s="1863"/>
      <c r="Y43" s="1864"/>
      <c r="Z43" s="1867">
        <f t="shared" si="4"/>
        <v>0</v>
      </c>
      <c r="AA43" s="1868">
        <f t="shared" si="5"/>
        <v>0</v>
      </c>
      <c r="AB43" s="1869" t="str">
        <f t="shared" si="6"/>
        <v/>
      </c>
      <c r="AC43" s="690"/>
      <c r="AD43" s="1580" t="str">
        <f t="shared" si="7"/>
        <v/>
      </c>
      <c r="AE43" s="1581">
        <f t="shared" si="8"/>
        <v>0</v>
      </c>
      <c r="AF43" s="1581">
        <f t="shared" si="9"/>
        <v>0</v>
      </c>
      <c r="AG43" s="1581">
        <f t="shared" si="10"/>
        <v>0</v>
      </c>
      <c r="AH43" s="1581">
        <f t="shared" si="11"/>
        <v>0</v>
      </c>
      <c r="AI43" s="1582">
        <f t="shared" si="12"/>
        <v>0</v>
      </c>
      <c r="AJ43" s="1583">
        <f t="shared" si="13"/>
        <v>1</v>
      </c>
      <c r="AK43" s="1581">
        <f t="shared" si="14"/>
        <v>0</v>
      </c>
      <c r="AL43" s="1584" t="e">
        <f t="shared" si="15"/>
        <v>#DIV/0!</v>
      </c>
      <c r="AM43" s="1188"/>
      <c r="AN43" s="1585">
        <f t="shared" si="16"/>
        <v>0</v>
      </c>
      <c r="AO43" s="1583">
        <f t="shared" si="17"/>
        <v>0</v>
      </c>
      <c r="AP43" s="1583">
        <f t="shared" si="18"/>
        <v>0</v>
      </c>
      <c r="AQ43" s="1583">
        <f t="shared" si="19"/>
        <v>0</v>
      </c>
      <c r="AR43" s="1586">
        <f t="shared" si="20"/>
        <v>0</v>
      </c>
      <c r="AT43" s="1587">
        <f t="shared" si="21"/>
        <v>0</v>
      </c>
      <c r="AU43" s="1583">
        <f t="shared" si="22"/>
        <v>0</v>
      </c>
      <c r="AV43" s="1583">
        <f t="shared" si="23"/>
        <v>0</v>
      </c>
      <c r="AW43" s="1583">
        <f t="shared" si="24"/>
        <v>0</v>
      </c>
      <c r="AX43" s="1583">
        <f t="shared" si="25"/>
        <v>0</v>
      </c>
      <c r="AY43" s="1588">
        <f t="shared" si="26"/>
        <v>0</v>
      </c>
      <c r="AZ43" s="1189"/>
      <c r="BA43" s="1587">
        <f t="shared" si="27"/>
        <v>0</v>
      </c>
      <c r="BB43" s="1583">
        <f t="shared" si="28"/>
        <v>0</v>
      </c>
      <c r="BC43" s="1583">
        <f t="shared" si="29"/>
        <v>0</v>
      </c>
      <c r="BD43" s="1583">
        <f t="shared" si="30"/>
        <v>0</v>
      </c>
      <c r="BE43" s="1588">
        <f t="shared" si="31"/>
        <v>0</v>
      </c>
      <c r="BG43" s="1581">
        <f t="shared" si="32"/>
        <v>43101</v>
      </c>
      <c r="BH43" s="1581">
        <f t="shared" si="33"/>
        <v>43101</v>
      </c>
      <c r="BI43" s="1581">
        <f t="shared" si="34"/>
        <v>43101</v>
      </c>
      <c r="BJ43" s="1581">
        <f t="shared" si="35"/>
        <v>0</v>
      </c>
      <c r="BL43" s="1585">
        <f t="shared" si="36"/>
        <v>0</v>
      </c>
      <c r="BM43" s="1581">
        <f t="shared" si="37"/>
        <v>0</v>
      </c>
      <c r="BN43" s="1581">
        <f t="shared" si="38"/>
        <v>0</v>
      </c>
      <c r="BO43" s="1589">
        <f t="shared" si="39"/>
        <v>0</v>
      </c>
      <c r="BP43" s="1514"/>
    </row>
    <row r="44" spans="1:68" ht="30" customHeight="1">
      <c r="A44" s="1577"/>
      <c r="B44" s="1577"/>
      <c r="C44" s="1603"/>
      <c r="D44" s="1578"/>
      <c r="E44" s="1863"/>
      <c r="F44" s="1864"/>
      <c r="G44" s="1865">
        <f t="shared" si="0"/>
        <v>0</v>
      </c>
      <c r="H44" s="1864"/>
      <c r="I44" s="1866"/>
      <c r="J44" s="1864"/>
      <c r="K44" s="1867">
        <f t="shared" si="1"/>
        <v>0</v>
      </c>
      <c r="L44" s="1864"/>
      <c r="M44" s="1866"/>
      <c r="N44" s="1863"/>
      <c r="O44" s="1864"/>
      <c r="P44" s="1867">
        <f t="shared" si="2"/>
        <v>0</v>
      </c>
      <c r="Q44" s="1864"/>
      <c r="R44" s="1866"/>
      <c r="S44" s="1863"/>
      <c r="T44" s="1864"/>
      <c r="U44" s="1867">
        <f t="shared" si="3"/>
        <v>0</v>
      </c>
      <c r="V44" s="1864"/>
      <c r="W44" s="1866"/>
      <c r="X44" s="1863"/>
      <c r="Y44" s="1864"/>
      <c r="Z44" s="1867">
        <f t="shared" si="4"/>
        <v>0</v>
      </c>
      <c r="AA44" s="1868">
        <f t="shared" si="5"/>
        <v>0</v>
      </c>
      <c r="AB44" s="1869" t="str">
        <f t="shared" si="6"/>
        <v/>
      </c>
      <c r="AC44" s="690"/>
      <c r="AD44" s="1580" t="str">
        <f t="shared" si="7"/>
        <v/>
      </c>
      <c r="AE44" s="1581">
        <f t="shared" si="8"/>
        <v>0</v>
      </c>
      <c r="AF44" s="1581">
        <f t="shared" si="9"/>
        <v>0</v>
      </c>
      <c r="AG44" s="1581">
        <f t="shared" si="10"/>
        <v>0</v>
      </c>
      <c r="AH44" s="1581">
        <f t="shared" si="11"/>
        <v>0</v>
      </c>
      <c r="AI44" s="1582">
        <f t="shared" si="12"/>
        <v>0</v>
      </c>
      <c r="AJ44" s="1583">
        <f t="shared" si="13"/>
        <v>1</v>
      </c>
      <c r="AK44" s="1581">
        <f t="shared" si="14"/>
        <v>0</v>
      </c>
      <c r="AL44" s="1584" t="e">
        <f t="shared" si="15"/>
        <v>#DIV/0!</v>
      </c>
      <c r="AM44" s="1188"/>
      <c r="AN44" s="1585">
        <f t="shared" si="16"/>
        <v>0</v>
      </c>
      <c r="AO44" s="1583">
        <f t="shared" si="17"/>
        <v>0</v>
      </c>
      <c r="AP44" s="1583">
        <f t="shared" si="18"/>
        <v>0</v>
      </c>
      <c r="AQ44" s="1583">
        <f t="shared" si="19"/>
        <v>0</v>
      </c>
      <c r="AR44" s="1586">
        <f t="shared" si="20"/>
        <v>0</v>
      </c>
      <c r="AT44" s="1587">
        <f t="shared" si="21"/>
        <v>0</v>
      </c>
      <c r="AU44" s="1583">
        <f t="shared" si="22"/>
        <v>0</v>
      </c>
      <c r="AV44" s="1583">
        <f t="shared" si="23"/>
        <v>0</v>
      </c>
      <c r="AW44" s="1583">
        <f t="shared" si="24"/>
        <v>0</v>
      </c>
      <c r="AX44" s="1583">
        <f t="shared" si="25"/>
        <v>0</v>
      </c>
      <c r="AY44" s="1588">
        <f t="shared" si="26"/>
        <v>0</v>
      </c>
      <c r="AZ44" s="1189"/>
      <c r="BA44" s="1587">
        <f t="shared" si="27"/>
        <v>0</v>
      </c>
      <c r="BB44" s="1583">
        <f t="shared" si="28"/>
        <v>0</v>
      </c>
      <c r="BC44" s="1583">
        <f t="shared" si="29"/>
        <v>0</v>
      </c>
      <c r="BD44" s="1583">
        <f t="shared" si="30"/>
        <v>0</v>
      </c>
      <c r="BE44" s="1588">
        <f t="shared" si="31"/>
        <v>0</v>
      </c>
      <c r="BG44" s="1581">
        <f t="shared" si="32"/>
        <v>43101</v>
      </c>
      <c r="BH44" s="1581">
        <f t="shared" si="33"/>
        <v>43101</v>
      </c>
      <c r="BI44" s="1581">
        <f t="shared" si="34"/>
        <v>43101</v>
      </c>
      <c r="BJ44" s="1581">
        <f t="shared" si="35"/>
        <v>0</v>
      </c>
      <c r="BL44" s="1585">
        <f t="shared" si="36"/>
        <v>0</v>
      </c>
      <c r="BM44" s="1581">
        <f t="shared" si="37"/>
        <v>0</v>
      </c>
      <c r="BN44" s="1581">
        <f t="shared" si="38"/>
        <v>0</v>
      </c>
      <c r="BO44" s="1589">
        <f t="shared" si="39"/>
        <v>0</v>
      </c>
      <c r="BP44" s="1514"/>
    </row>
    <row r="45" spans="1:68" ht="30" customHeight="1">
      <c r="A45" s="1577"/>
      <c r="B45" s="1577"/>
      <c r="C45" s="1603"/>
      <c r="D45" s="1578"/>
      <c r="E45" s="1863"/>
      <c r="F45" s="1864"/>
      <c r="G45" s="1865">
        <f t="shared" si="0"/>
        <v>0</v>
      </c>
      <c r="H45" s="1864"/>
      <c r="I45" s="1866"/>
      <c r="J45" s="1864"/>
      <c r="K45" s="1867">
        <f t="shared" si="1"/>
        <v>0</v>
      </c>
      <c r="L45" s="1864"/>
      <c r="M45" s="1866"/>
      <c r="N45" s="1863"/>
      <c r="O45" s="1864"/>
      <c r="P45" s="1867">
        <f t="shared" si="2"/>
        <v>0</v>
      </c>
      <c r="Q45" s="1864"/>
      <c r="R45" s="1866"/>
      <c r="S45" s="1863"/>
      <c r="T45" s="1864"/>
      <c r="U45" s="1867">
        <f t="shared" si="3"/>
        <v>0</v>
      </c>
      <c r="V45" s="1864"/>
      <c r="W45" s="1866"/>
      <c r="X45" s="1863"/>
      <c r="Y45" s="1864"/>
      <c r="Z45" s="1867">
        <f t="shared" si="4"/>
        <v>0</v>
      </c>
      <c r="AA45" s="1868">
        <f t="shared" si="5"/>
        <v>0</v>
      </c>
      <c r="AB45" s="1869" t="str">
        <f t="shared" si="6"/>
        <v/>
      </c>
      <c r="AC45" s="690"/>
      <c r="AD45" s="1580" t="str">
        <f t="shared" si="7"/>
        <v/>
      </c>
      <c r="AE45" s="1581">
        <f t="shared" si="8"/>
        <v>0</v>
      </c>
      <c r="AF45" s="1581">
        <f t="shared" si="9"/>
        <v>0</v>
      </c>
      <c r="AG45" s="1581">
        <f t="shared" si="10"/>
        <v>0</v>
      </c>
      <c r="AH45" s="1581">
        <f t="shared" si="11"/>
        <v>0</v>
      </c>
      <c r="AI45" s="1582">
        <f t="shared" si="12"/>
        <v>0</v>
      </c>
      <c r="AJ45" s="1583">
        <f t="shared" si="13"/>
        <v>1</v>
      </c>
      <c r="AK45" s="1581">
        <f t="shared" si="14"/>
        <v>0</v>
      </c>
      <c r="AL45" s="1584" t="e">
        <f t="shared" si="15"/>
        <v>#DIV/0!</v>
      </c>
      <c r="AM45" s="1188"/>
      <c r="AN45" s="1585">
        <f t="shared" si="16"/>
        <v>0</v>
      </c>
      <c r="AO45" s="1583">
        <f t="shared" si="17"/>
        <v>0</v>
      </c>
      <c r="AP45" s="1583">
        <f t="shared" si="18"/>
        <v>0</v>
      </c>
      <c r="AQ45" s="1583">
        <f t="shared" si="19"/>
        <v>0</v>
      </c>
      <c r="AR45" s="1586">
        <f t="shared" si="20"/>
        <v>0</v>
      </c>
      <c r="AT45" s="1587">
        <f t="shared" si="21"/>
        <v>0</v>
      </c>
      <c r="AU45" s="1583">
        <f t="shared" si="22"/>
        <v>0</v>
      </c>
      <c r="AV45" s="1583">
        <f t="shared" si="23"/>
        <v>0</v>
      </c>
      <c r="AW45" s="1583">
        <f t="shared" si="24"/>
        <v>0</v>
      </c>
      <c r="AX45" s="1583">
        <f t="shared" si="25"/>
        <v>0</v>
      </c>
      <c r="AY45" s="1588">
        <f t="shared" si="26"/>
        <v>0</v>
      </c>
      <c r="AZ45" s="1189"/>
      <c r="BA45" s="1587">
        <f t="shared" si="27"/>
        <v>0</v>
      </c>
      <c r="BB45" s="1583">
        <f t="shared" si="28"/>
        <v>0</v>
      </c>
      <c r="BC45" s="1583">
        <f t="shared" si="29"/>
        <v>0</v>
      </c>
      <c r="BD45" s="1583">
        <f t="shared" si="30"/>
        <v>0</v>
      </c>
      <c r="BE45" s="1588">
        <f t="shared" si="31"/>
        <v>0</v>
      </c>
      <c r="BG45" s="1581">
        <f t="shared" si="32"/>
        <v>43101</v>
      </c>
      <c r="BH45" s="1581">
        <f t="shared" si="33"/>
        <v>43101</v>
      </c>
      <c r="BI45" s="1581">
        <f t="shared" si="34"/>
        <v>43101</v>
      </c>
      <c r="BJ45" s="1581">
        <f t="shared" si="35"/>
        <v>0</v>
      </c>
      <c r="BL45" s="1585">
        <f t="shared" si="36"/>
        <v>0</v>
      </c>
      <c r="BM45" s="1581">
        <f t="shared" si="37"/>
        <v>0</v>
      </c>
      <c r="BN45" s="1581">
        <f t="shared" si="38"/>
        <v>0</v>
      </c>
      <c r="BO45" s="1589">
        <f t="shared" si="39"/>
        <v>0</v>
      </c>
      <c r="BP45" s="1514"/>
    </row>
    <row r="46" spans="1:68" ht="30" customHeight="1">
      <c r="A46" s="1577"/>
      <c r="B46" s="1577"/>
      <c r="C46" s="1603"/>
      <c r="D46" s="1578"/>
      <c r="E46" s="1863"/>
      <c r="F46" s="1864"/>
      <c r="G46" s="1865">
        <f t="shared" si="0"/>
        <v>0</v>
      </c>
      <c r="H46" s="1864"/>
      <c r="I46" s="1866"/>
      <c r="J46" s="1864"/>
      <c r="K46" s="1867">
        <f t="shared" si="1"/>
        <v>0</v>
      </c>
      <c r="L46" s="1864"/>
      <c r="M46" s="1866"/>
      <c r="N46" s="1863"/>
      <c r="O46" s="1864"/>
      <c r="P46" s="1867">
        <f t="shared" si="2"/>
        <v>0</v>
      </c>
      <c r="Q46" s="1864"/>
      <c r="R46" s="1866"/>
      <c r="S46" s="1863"/>
      <c r="T46" s="1864"/>
      <c r="U46" s="1867">
        <f t="shared" si="3"/>
        <v>0</v>
      </c>
      <c r="V46" s="1864"/>
      <c r="W46" s="1866"/>
      <c r="X46" s="1863"/>
      <c r="Y46" s="1864"/>
      <c r="Z46" s="1867">
        <f t="shared" si="4"/>
        <v>0</v>
      </c>
      <c r="AA46" s="1868">
        <f t="shared" si="5"/>
        <v>0</v>
      </c>
      <c r="AB46" s="1869" t="str">
        <f t="shared" si="6"/>
        <v/>
      </c>
      <c r="AC46" s="690"/>
      <c r="AD46" s="1580" t="str">
        <f t="shared" si="7"/>
        <v/>
      </c>
      <c r="AE46" s="1581">
        <f t="shared" si="8"/>
        <v>0</v>
      </c>
      <c r="AF46" s="1581">
        <f t="shared" si="9"/>
        <v>0</v>
      </c>
      <c r="AG46" s="1581">
        <f t="shared" si="10"/>
        <v>0</v>
      </c>
      <c r="AH46" s="1581">
        <f t="shared" si="11"/>
        <v>0</v>
      </c>
      <c r="AI46" s="1582">
        <f t="shared" si="12"/>
        <v>0</v>
      </c>
      <c r="AJ46" s="1583">
        <f t="shared" si="13"/>
        <v>1</v>
      </c>
      <c r="AK46" s="1581">
        <f t="shared" si="14"/>
        <v>0</v>
      </c>
      <c r="AL46" s="1584" t="e">
        <f t="shared" si="15"/>
        <v>#DIV/0!</v>
      </c>
      <c r="AM46" s="1188"/>
      <c r="AN46" s="1585">
        <f t="shared" si="16"/>
        <v>0</v>
      </c>
      <c r="AO46" s="1583">
        <f t="shared" si="17"/>
        <v>0</v>
      </c>
      <c r="AP46" s="1583">
        <f t="shared" si="18"/>
        <v>0</v>
      </c>
      <c r="AQ46" s="1583">
        <f t="shared" si="19"/>
        <v>0</v>
      </c>
      <c r="AR46" s="1586">
        <f t="shared" si="20"/>
        <v>0</v>
      </c>
      <c r="AT46" s="1587">
        <f t="shared" si="21"/>
        <v>0</v>
      </c>
      <c r="AU46" s="1583">
        <f t="shared" si="22"/>
        <v>0</v>
      </c>
      <c r="AV46" s="1583">
        <f t="shared" si="23"/>
        <v>0</v>
      </c>
      <c r="AW46" s="1583">
        <f t="shared" si="24"/>
        <v>0</v>
      </c>
      <c r="AX46" s="1583">
        <f t="shared" si="25"/>
        <v>0</v>
      </c>
      <c r="AY46" s="1588">
        <f t="shared" si="26"/>
        <v>0</v>
      </c>
      <c r="AZ46" s="1189"/>
      <c r="BA46" s="1587">
        <f t="shared" si="27"/>
        <v>0</v>
      </c>
      <c r="BB46" s="1583">
        <f t="shared" si="28"/>
        <v>0</v>
      </c>
      <c r="BC46" s="1583">
        <f t="shared" si="29"/>
        <v>0</v>
      </c>
      <c r="BD46" s="1583">
        <f t="shared" si="30"/>
        <v>0</v>
      </c>
      <c r="BE46" s="1588">
        <f t="shared" si="31"/>
        <v>0</v>
      </c>
      <c r="BG46" s="1581">
        <f t="shared" si="32"/>
        <v>43101</v>
      </c>
      <c r="BH46" s="1581">
        <f t="shared" si="33"/>
        <v>43101</v>
      </c>
      <c r="BI46" s="1581">
        <f t="shared" si="34"/>
        <v>43101</v>
      </c>
      <c r="BJ46" s="1581">
        <f t="shared" si="35"/>
        <v>0</v>
      </c>
      <c r="BL46" s="1585">
        <f t="shared" si="36"/>
        <v>0</v>
      </c>
      <c r="BM46" s="1581">
        <f t="shared" si="37"/>
        <v>0</v>
      </c>
      <c r="BN46" s="1581">
        <f t="shared" si="38"/>
        <v>0</v>
      </c>
      <c r="BO46" s="1589">
        <f t="shared" si="39"/>
        <v>0</v>
      </c>
      <c r="BP46" s="1514"/>
    </row>
    <row r="47" spans="1:68" ht="30" customHeight="1">
      <c r="A47" s="1577"/>
      <c r="B47" s="1577"/>
      <c r="C47" s="1603"/>
      <c r="D47" s="1578"/>
      <c r="E47" s="1863"/>
      <c r="F47" s="1864"/>
      <c r="G47" s="1865">
        <f t="shared" si="0"/>
        <v>0</v>
      </c>
      <c r="H47" s="1864"/>
      <c r="I47" s="1866"/>
      <c r="J47" s="1864"/>
      <c r="K47" s="1867">
        <f t="shared" si="1"/>
        <v>0</v>
      </c>
      <c r="L47" s="1864"/>
      <c r="M47" s="1866"/>
      <c r="N47" s="1863"/>
      <c r="O47" s="1864"/>
      <c r="P47" s="1867">
        <f t="shared" si="2"/>
        <v>0</v>
      </c>
      <c r="Q47" s="1864"/>
      <c r="R47" s="1866"/>
      <c r="S47" s="1863"/>
      <c r="T47" s="1864"/>
      <c r="U47" s="1867">
        <f t="shared" si="3"/>
        <v>0</v>
      </c>
      <c r="V47" s="1864"/>
      <c r="W47" s="1866"/>
      <c r="X47" s="1863"/>
      <c r="Y47" s="1864"/>
      <c r="Z47" s="1867">
        <f t="shared" si="4"/>
        <v>0</v>
      </c>
      <c r="AA47" s="1868">
        <f t="shared" si="5"/>
        <v>0</v>
      </c>
      <c r="AB47" s="1869" t="str">
        <f t="shared" si="6"/>
        <v/>
      </c>
      <c r="AC47" s="690"/>
      <c r="AD47" s="1580" t="str">
        <f t="shared" si="7"/>
        <v/>
      </c>
      <c r="AE47" s="1581">
        <f t="shared" si="8"/>
        <v>0</v>
      </c>
      <c r="AF47" s="1581">
        <f t="shared" si="9"/>
        <v>0</v>
      </c>
      <c r="AG47" s="1581">
        <f t="shared" si="10"/>
        <v>0</v>
      </c>
      <c r="AH47" s="1581">
        <f t="shared" si="11"/>
        <v>0</v>
      </c>
      <c r="AI47" s="1582">
        <f t="shared" si="12"/>
        <v>0</v>
      </c>
      <c r="AJ47" s="1583">
        <f t="shared" si="13"/>
        <v>1</v>
      </c>
      <c r="AK47" s="1581">
        <f t="shared" si="14"/>
        <v>0</v>
      </c>
      <c r="AL47" s="1584" t="e">
        <f t="shared" si="15"/>
        <v>#DIV/0!</v>
      </c>
      <c r="AM47" s="1188"/>
      <c r="AN47" s="1585">
        <f t="shared" si="16"/>
        <v>0</v>
      </c>
      <c r="AO47" s="1583">
        <f t="shared" si="17"/>
        <v>0</v>
      </c>
      <c r="AP47" s="1583">
        <f t="shared" si="18"/>
        <v>0</v>
      </c>
      <c r="AQ47" s="1583">
        <f t="shared" si="19"/>
        <v>0</v>
      </c>
      <c r="AR47" s="1586">
        <f t="shared" si="20"/>
        <v>0</v>
      </c>
      <c r="AT47" s="1587">
        <f t="shared" si="21"/>
        <v>0</v>
      </c>
      <c r="AU47" s="1583">
        <f t="shared" si="22"/>
        <v>0</v>
      </c>
      <c r="AV47" s="1583">
        <f t="shared" si="23"/>
        <v>0</v>
      </c>
      <c r="AW47" s="1583">
        <f t="shared" si="24"/>
        <v>0</v>
      </c>
      <c r="AX47" s="1583">
        <f t="shared" si="25"/>
        <v>0</v>
      </c>
      <c r="AY47" s="1588">
        <f t="shared" si="26"/>
        <v>0</v>
      </c>
      <c r="AZ47" s="1189"/>
      <c r="BA47" s="1587">
        <f t="shared" si="27"/>
        <v>0</v>
      </c>
      <c r="BB47" s="1583">
        <f t="shared" si="28"/>
        <v>0</v>
      </c>
      <c r="BC47" s="1583">
        <f t="shared" si="29"/>
        <v>0</v>
      </c>
      <c r="BD47" s="1583">
        <f t="shared" si="30"/>
        <v>0</v>
      </c>
      <c r="BE47" s="1588">
        <f t="shared" si="31"/>
        <v>0</v>
      </c>
      <c r="BG47" s="1581">
        <f t="shared" si="32"/>
        <v>43101</v>
      </c>
      <c r="BH47" s="1581">
        <f t="shared" si="33"/>
        <v>43101</v>
      </c>
      <c r="BI47" s="1581">
        <f t="shared" si="34"/>
        <v>43101</v>
      </c>
      <c r="BJ47" s="1581">
        <f t="shared" si="35"/>
        <v>0</v>
      </c>
      <c r="BL47" s="1585">
        <f t="shared" si="36"/>
        <v>0</v>
      </c>
      <c r="BM47" s="1581">
        <f t="shared" si="37"/>
        <v>0</v>
      </c>
      <c r="BN47" s="1581">
        <f t="shared" si="38"/>
        <v>0</v>
      </c>
      <c r="BO47" s="1589">
        <f t="shared" si="39"/>
        <v>0</v>
      </c>
      <c r="BP47" s="1514"/>
    </row>
    <row r="48" spans="1:68" ht="30" customHeight="1">
      <c r="A48" s="1577"/>
      <c r="B48" s="1577"/>
      <c r="C48" s="1603"/>
      <c r="D48" s="1578"/>
      <c r="E48" s="1863"/>
      <c r="F48" s="1864"/>
      <c r="G48" s="1865">
        <f t="shared" si="0"/>
        <v>0</v>
      </c>
      <c r="H48" s="1864"/>
      <c r="I48" s="1866"/>
      <c r="J48" s="1864"/>
      <c r="K48" s="1867">
        <f t="shared" si="1"/>
        <v>0</v>
      </c>
      <c r="L48" s="1864"/>
      <c r="M48" s="1866"/>
      <c r="N48" s="1863"/>
      <c r="O48" s="1864"/>
      <c r="P48" s="1867">
        <f t="shared" si="2"/>
        <v>0</v>
      </c>
      <c r="Q48" s="1864"/>
      <c r="R48" s="1866"/>
      <c r="S48" s="1863"/>
      <c r="T48" s="1864"/>
      <c r="U48" s="1867">
        <f t="shared" si="3"/>
        <v>0</v>
      </c>
      <c r="V48" s="1864"/>
      <c r="W48" s="1866"/>
      <c r="X48" s="1863"/>
      <c r="Y48" s="1864"/>
      <c r="Z48" s="1867">
        <f t="shared" si="4"/>
        <v>0</v>
      </c>
      <c r="AA48" s="1868">
        <f t="shared" si="5"/>
        <v>0</v>
      </c>
      <c r="AB48" s="1869" t="str">
        <f t="shared" si="6"/>
        <v/>
      </c>
      <c r="AC48" s="690"/>
      <c r="AD48" s="1580" t="str">
        <f t="shared" si="7"/>
        <v/>
      </c>
      <c r="AE48" s="1581">
        <f t="shared" si="8"/>
        <v>0</v>
      </c>
      <c r="AF48" s="1581">
        <f t="shared" si="9"/>
        <v>0</v>
      </c>
      <c r="AG48" s="1581">
        <f t="shared" si="10"/>
        <v>0</v>
      </c>
      <c r="AH48" s="1581">
        <f t="shared" si="11"/>
        <v>0</v>
      </c>
      <c r="AI48" s="1582">
        <f t="shared" si="12"/>
        <v>0</v>
      </c>
      <c r="AJ48" s="1583">
        <f t="shared" si="13"/>
        <v>1</v>
      </c>
      <c r="AK48" s="1581">
        <f t="shared" si="14"/>
        <v>0</v>
      </c>
      <c r="AL48" s="1584" t="e">
        <f t="shared" si="15"/>
        <v>#DIV/0!</v>
      </c>
      <c r="AM48" s="1188"/>
      <c r="AN48" s="1585">
        <f t="shared" si="16"/>
        <v>0</v>
      </c>
      <c r="AO48" s="1583">
        <f t="shared" si="17"/>
        <v>0</v>
      </c>
      <c r="AP48" s="1583">
        <f t="shared" si="18"/>
        <v>0</v>
      </c>
      <c r="AQ48" s="1583">
        <f t="shared" si="19"/>
        <v>0</v>
      </c>
      <c r="AR48" s="1586">
        <f t="shared" si="20"/>
        <v>0</v>
      </c>
      <c r="AT48" s="1587">
        <f t="shared" si="21"/>
        <v>0</v>
      </c>
      <c r="AU48" s="1583">
        <f t="shared" si="22"/>
        <v>0</v>
      </c>
      <c r="AV48" s="1583">
        <f t="shared" si="23"/>
        <v>0</v>
      </c>
      <c r="AW48" s="1583">
        <f t="shared" si="24"/>
        <v>0</v>
      </c>
      <c r="AX48" s="1583">
        <f t="shared" si="25"/>
        <v>0</v>
      </c>
      <c r="AY48" s="1588">
        <f t="shared" si="26"/>
        <v>0</v>
      </c>
      <c r="AZ48" s="1189"/>
      <c r="BA48" s="1587">
        <f t="shared" si="27"/>
        <v>0</v>
      </c>
      <c r="BB48" s="1583">
        <f t="shared" si="28"/>
        <v>0</v>
      </c>
      <c r="BC48" s="1583">
        <f t="shared" si="29"/>
        <v>0</v>
      </c>
      <c r="BD48" s="1583">
        <f t="shared" si="30"/>
        <v>0</v>
      </c>
      <c r="BE48" s="1588">
        <f t="shared" si="31"/>
        <v>0</v>
      </c>
      <c r="BG48" s="1581">
        <f t="shared" si="32"/>
        <v>43101</v>
      </c>
      <c r="BH48" s="1581">
        <f t="shared" si="33"/>
        <v>43101</v>
      </c>
      <c r="BI48" s="1581">
        <f t="shared" si="34"/>
        <v>43101</v>
      </c>
      <c r="BJ48" s="1581">
        <f t="shared" si="35"/>
        <v>0</v>
      </c>
      <c r="BL48" s="1585">
        <f t="shared" si="36"/>
        <v>0</v>
      </c>
      <c r="BM48" s="1581">
        <f t="shared" si="37"/>
        <v>0</v>
      </c>
      <c r="BN48" s="1581">
        <f t="shared" si="38"/>
        <v>0</v>
      </c>
      <c r="BO48" s="1589">
        <f t="shared" si="39"/>
        <v>0</v>
      </c>
      <c r="BP48" s="1514"/>
    </row>
    <row r="49" spans="1:68" ht="30" customHeight="1">
      <c r="A49" s="1577"/>
      <c r="B49" s="1577"/>
      <c r="C49" s="1603"/>
      <c r="D49" s="1578"/>
      <c r="E49" s="1863"/>
      <c r="F49" s="1864"/>
      <c r="G49" s="1865">
        <f t="shared" si="0"/>
        <v>0</v>
      </c>
      <c r="H49" s="1864"/>
      <c r="I49" s="1866"/>
      <c r="J49" s="1864"/>
      <c r="K49" s="1867">
        <f t="shared" si="1"/>
        <v>0</v>
      </c>
      <c r="L49" s="1864"/>
      <c r="M49" s="1866"/>
      <c r="N49" s="1863"/>
      <c r="O49" s="1864"/>
      <c r="P49" s="1867">
        <f t="shared" si="2"/>
        <v>0</v>
      </c>
      <c r="Q49" s="1864"/>
      <c r="R49" s="1866"/>
      <c r="S49" s="1863"/>
      <c r="T49" s="1864"/>
      <c r="U49" s="1867">
        <f t="shared" si="3"/>
        <v>0</v>
      </c>
      <c r="V49" s="1864"/>
      <c r="W49" s="1866"/>
      <c r="X49" s="1863"/>
      <c r="Y49" s="1864"/>
      <c r="Z49" s="1867">
        <f t="shared" si="4"/>
        <v>0</v>
      </c>
      <c r="AA49" s="1868">
        <f t="shared" si="5"/>
        <v>0</v>
      </c>
      <c r="AB49" s="1869" t="str">
        <f t="shared" si="6"/>
        <v/>
      </c>
      <c r="AC49" s="690"/>
      <c r="AD49" s="1580" t="str">
        <f t="shared" si="7"/>
        <v/>
      </c>
      <c r="AE49" s="1581">
        <f t="shared" si="8"/>
        <v>0</v>
      </c>
      <c r="AF49" s="1581">
        <f t="shared" si="9"/>
        <v>0</v>
      </c>
      <c r="AG49" s="1581">
        <f t="shared" si="10"/>
        <v>0</v>
      </c>
      <c r="AH49" s="1581">
        <f t="shared" si="11"/>
        <v>0</v>
      </c>
      <c r="AI49" s="1582">
        <f t="shared" si="12"/>
        <v>0</v>
      </c>
      <c r="AJ49" s="1583">
        <f t="shared" si="13"/>
        <v>1</v>
      </c>
      <c r="AK49" s="1581">
        <f t="shared" si="14"/>
        <v>0</v>
      </c>
      <c r="AL49" s="1584" t="e">
        <f t="shared" si="15"/>
        <v>#DIV/0!</v>
      </c>
      <c r="AM49" s="1188"/>
      <c r="AN49" s="1585">
        <f t="shared" si="16"/>
        <v>0</v>
      </c>
      <c r="AO49" s="1583">
        <f t="shared" si="17"/>
        <v>0</v>
      </c>
      <c r="AP49" s="1583">
        <f t="shared" si="18"/>
        <v>0</v>
      </c>
      <c r="AQ49" s="1583">
        <f t="shared" si="19"/>
        <v>0</v>
      </c>
      <c r="AR49" s="1586">
        <f t="shared" si="20"/>
        <v>0</v>
      </c>
      <c r="AT49" s="1587">
        <f t="shared" si="21"/>
        <v>0</v>
      </c>
      <c r="AU49" s="1583">
        <f t="shared" si="22"/>
        <v>0</v>
      </c>
      <c r="AV49" s="1583">
        <f t="shared" si="23"/>
        <v>0</v>
      </c>
      <c r="AW49" s="1583">
        <f t="shared" si="24"/>
        <v>0</v>
      </c>
      <c r="AX49" s="1583">
        <f t="shared" si="25"/>
        <v>0</v>
      </c>
      <c r="AY49" s="1588">
        <f t="shared" si="26"/>
        <v>0</v>
      </c>
      <c r="AZ49" s="1189"/>
      <c r="BA49" s="1587">
        <f t="shared" si="27"/>
        <v>0</v>
      </c>
      <c r="BB49" s="1583">
        <f t="shared" si="28"/>
        <v>0</v>
      </c>
      <c r="BC49" s="1583">
        <f t="shared" si="29"/>
        <v>0</v>
      </c>
      <c r="BD49" s="1583">
        <f t="shared" si="30"/>
        <v>0</v>
      </c>
      <c r="BE49" s="1588">
        <f t="shared" si="31"/>
        <v>0</v>
      </c>
      <c r="BG49" s="1581">
        <f t="shared" si="32"/>
        <v>43101</v>
      </c>
      <c r="BH49" s="1581">
        <f t="shared" si="33"/>
        <v>43101</v>
      </c>
      <c r="BI49" s="1581">
        <f t="shared" si="34"/>
        <v>43101</v>
      </c>
      <c r="BJ49" s="1581">
        <f t="shared" si="35"/>
        <v>0</v>
      </c>
      <c r="BL49" s="1585">
        <f t="shared" si="36"/>
        <v>0</v>
      </c>
      <c r="BM49" s="1581">
        <f t="shared" si="37"/>
        <v>0</v>
      </c>
      <c r="BN49" s="1581">
        <f t="shared" si="38"/>
        <v>0</v>
      </c>
      <c r="BO49" s="1589">
        <f t="shared" si="39"/>
        <v>0</v>
      </c>
      <c r="BP49" s="1514"/>
    </row>
    <row r="50" spans="1:68" ht="30" customHeight="1">
      <c r="A50" s="1577"/>
      <c r="B50" s="1577"/>
      <c r="C50" s="1603"/>
      <c r="D50" s="1578"/>
      <c r="E50" s="1863"/>
      <c r="F50" s="1864"/>
      <c r="G50" s="1865">
        <f t="shared" si="0"/>
        <v>0</v>
      </c>
      <c r="H50" s="1864"/>
      <c r="I50" s="1866"/>
      <c r="J50" s="1864"/>
      <c r="K50" s="1867">
        <f t="shared" si="1"/>
        <v>0</v>
      </c>
      <c r="L50" s="1864"/>
      <c r="M50" s="1866"/>
      <c r="N50" s="1863"/>
      <c r="O50" s="1864"/>
      <c r="P50" s="1867">
        <f t="shared" si="2"/>
        <v>0</v>
      </c>
      <c r="Q50" s="1864"/>
      <c r="R50" s="1866"/>
      <c r="S50" s="1863"/>
      <c r="T50" s="1864"/>
      <c r="U50" s="1867">
        <f t="shared" si="3"/>
        <v>0</v>
      </c>
      <c r="V50" s="1864"/>
      <c r="W50" s="1866"/>
      <c r="X50" s="1863"/>
      <c r="Y50" s="1864"/>
      <c r="Z50" s="1867">
        <f t="shared" si="4"/>
        <v>0</v>
      </c>
      <c r="AA50" s="1868">
        <f t="shared" si="5"/>
        <v>0</v>
      </c>
      <c r="AB50" s="1869" t="str">
        <f t="shared" si="6"/>
        <v/>
      </c>
      <c r="AC50" s="690"/>
      <c r="AD50" s="1580" t="str">
        <f t="shared" si="7"/>
        <v/>
      </c>
      <c r="AE50" s="1581">
        <f t="shared" si="8"/>
        <v>0</v>
      </c>
      <c r="AF50" s="1581">
        <f t="shared" si="9"/>
        <v>0</v>
      </c>
      <c r="AG50" s="1581">
        <f t="shared" si="10"/>
        <v>0</v>
      </c>
      <c r="AH50" s="1581">
        <f t="shared" si="11"/>
        <v>0</v>
      </c>
      <c r="AI50" s="1582">
        <f t="shared" si="12"/>
        <v>0</v>
      </c>
      <c r="AJ50" s="1583">
        <f t="shared" si="13"/>
        <v>1</v>
      </c>
      <c r="AK50" s="1581">
        <f t="shared" si="14"/>
        <v>0</v>
      </c>
      <c r="AL50" s="1584" t="e">
        <f t="shared" si="15"/>
        <v>#DIV/0!</v>
      </c>
      <c r="AM50" s="1188"/>
      <c r="AN50" s="1585">
        <f t="shared" si="16"/>
        <v>0</v>
      </c>
      <c r="AO50" s="1583">
        <f t="shared" si="17"/>
        <v>0</v>
      </c>
      <c r="AP50" s="1583">
        <f t="shared" si="18"/>
        <v>0</v>
      </c>
      <c r="AQ50" s="1583">
        <f t="shared" si="19"/>
        <v>0</v>
      </c>
      <c r="AR50" s="1586">
        <f t="shared" si="20"/>
        <v>0</v>
      </c>
      <c r="AT50" s="1587">
        <f t="shared" si="21"/>
        <v>0</v>
      </c>
      <c r="AU50" s="1583">
        <f t="shared" si="22"/>
        <v>0</v>
      </c>
      <c r="AV50" s="1583">
        <f t="shared" si="23"/>
        <v>0</v>
      </c>
      <c r="AW50" s="1583">
        <f t="shared" si="24"/>
        <v>0</v>
      </c>
      <c r="AX50" s="1583">
        <f t="shared" si="25"/>
        <v>0</v>
      </c>
      <c r="AY50" s="1588">
        <f t="shared" si="26"/>
        <v>0</v>
      </c>
      <c r="AZ50" s="1189"/>
      <c r="BA50" s="1587">
        <f t="shared" si="27"/>
        <v>0</v>
      </c>
      <c r="BB50" s="1583">
        <f t="shared" si="28"/>
        <v>0</v>
      </c>
      <c r="BC50" s="1583">
        <f t="shared" si="29"/>
        <v>0</v>
      </c>
      <c r="BD50" s="1583">
        <f t="shared" si="30"/>
        <v>0</v>
      </c>
      <c r="BE50" s="1588">
        <f t="shared" si="31"/>
        <v>0</v>
      </c>
      <c r="BG50" s="1581">
        <f t="shared" si="32"/>
        <v>43101</v>
      </c>
      <c r="BH50" s="1581">
        <f t="shared" si="33"/>
        <v>43101</v>
      </c>
      <c r="BI50" s="1581">
        <f t="shared" si="34"/>
        <v>43101</v>
      </c>
      <c r="BJ50" s="1581">
        <f t="shared" si="35"/>
        <v>0</v>
      </c>
      <c r="BL50" s="1585">
        <f t="shared" si="36"/>
        <v>0</v>
      </c>
      <c r="BM50" s="1581">
        <f t="shared" si="37"/>
        <v>0</v>
      </c>
      <c r="BN50" s="1581">
        <f t="shared" si="38"/>
        <v>0</v>
      </c>
      <c r="BO50" s="1589">
        <f t="shared" si="39"/>
        <v>0</v>
      </c>
      <c r="BP50" s="1514"/>
    </row>
    <row r="51" spans="1:68" ht="30" customHeight="1">
      <c r="A51" s="1577"/>
      <c r="B51" s="1577"/>
      <c r="C51" s="1603"/>
      <c r="D51" s="1578"/>
      <c r="E51" s="1863"/>
      <c r="F51" s="1864"/>
      <c r="G51" s="1865">
        <f t="shared" si="0"/>
        <v>0</v>
      </c>
      <c r="H51" s="1864"/>
      <c r="I51" s="1866"/>
      <c r="J51" s="1864"/>
      <c r="K51" s="1867">
        <f t="shared" si="1"/>
        <v>0</v>
      </c>
      <c r="L51" s="1864"/>
      <c r="M51" s="1866"/>
      <c r="N51" s="1863"/>
      <c r="O51" s="1864"/>
      <c r="P51" s="1867">
        <f t="shared" si="2"/>
        <v>0</v>
      </c>
      <c r="Q51" s="1864"/>
      <c r="R51" s="1866"/>
      <c r="S51" s="1863"/>
      <c r="T51" s="1864"/>
      <c r="U51" s="1867">
        <f t="shared" si="3"/>
        <v>0</v>
      </c>
      <c r="V51" s="1864"/>
      <c r="W51" s="1866"/>
      <c r="X51" s="1863"/>
      <c r="Y51" s="1864"/>
      <c r="Z51" s="1867">
        <f t="shared" si="4"/>
        <v>0</v>
      </c>
      <c r="AA51" s="1868">
        <f t="shared" si="5"/>
        <v>0</v>
      </c>
      <c r="AB51" s="1869" t="str">
        <f t="shared" si="6"/>
        <v/>
      </c>
      <c r="AC51" s="690"/>
      <c r="AD51" s="1580" t="str">
        <f t="shared" si="7"/>
        <v/>
      </c>
      <c r="AE51" s="1581">
        <f t="shared" si="8"/>
        <v>0</v>
      </c>
      <c r="AF51" s="1581">
        <f t="shared" si="9"/>
        <v>0</v>
      </c>
      <c r="AG51" s="1581">
        <f t="shared" si="10"/>
        <v>0</v>
      </c>
      <c r="AH51" s="1581">
        <f t="shared" si="11"/>
        <v>0</v>
      </c>
      <c r="AI51" s="1582">
        <f t="shared" si="12"/>
        <v>0</v>
      </c>
      <c r="AJ51" s="1583">
        <f t="shared" si="13"/>
        <v>1</v>
      </c>
      <c r="AK51" s="1581">
        <f t="shared" si="14"/>
        <v>0</v>
      </c>
      <c r="AL51" s="1584" t="e">
        <f t="shared" si="15"/>
        <v>#DIV/0!</v>
      </c>
      <c r="AM51" s="1188"/>
      <c r="AN51" s="1585">
        <f t="shared" si="16"/>
        <v>0</v>
      </c>
      <c r="AO51" s="1583">
        <f t="shared" si="17"/>
        <v>0</v>
      </c>
      <c r="AP51" s="1583">
        <f t="shared" si="18"/>
        <v>0</v>
      </c>
      <c r="AQ51" s="1583">
        <f t="shared" si="19"/>
        <v>0</v>
      </c>
      <c r="AR51" s="1586">
        <f t="shared" si="20"/>
        <v>0</v>
      </c>
      <c r="AT51" s="1587">
        <f t="shared" si="21"/>
        <v>0</v>
      </c>
      <c r="AU51" s="1583">
        <f t="shared" si="22"/>
        <v>0</v>
      </c>
      <c r="AV51" s="1583">
        <f t="shared" si="23"/>
        <v>0</v>
      </c>
      <c r="AW51" s="1583">
        <f t="shared" si="24"/>
        <v>0</v>
      </c>
      <c r="AX51" s="1583">
        <f t="shared" si="25"/>
        <v>0</v>
      </c>
      <c r="AY51" s="1588">
        <f t="shared" si="26"/>
        <v>0</v>
      </c>
      <c r="AZ51" s="1189"/>
      <c r="BA51" s="1587">
        <f t="shared" si="27"/>
        <v>0</v>
      </c>
      <c r="BB51" s="1583">
        <f t="shared" si="28"/>
        <v>0</v>
      </c>
      <c r="BC51" s="1583">
        <f t="shared" si="29"/>
        <v>0</v>
      </c>
      <c r="BD51" s="1583">
        <f t="shared" si="30"/>
        <v>0</v>
      </c>
      <c r="BE51" s="1588">
        <f t="shared" si="31"/>
        <v>0</v>
      </c>
      <c r="BG51" s="1581">
        <f t="shared" si="32"/>
        <v>43101</v>
      </c>
      <c r="BH51" s="1581">
        <f t="shared" si="33"/>
        <v>43101</v>
      </c>
      <c r="BI51" s="1581">
        <f t="shared" si="34"/>
        <v>43101</v>
      </c>
      <c r="BJ51" s="1581">
        <f t="shared" si="35"/>
        <v>0</v>
      </c>
      <c r="BL51" s="1585">
        <f t="shared" si="36"/>
        <v>0</v>
      </c>
      <c r="BM51" s="1581">
        <f t="shared" si="37"/>
        <v>0</v>
      </c>
      <c r="BN51" s="1581">
        <f t="shared" si="38"/>
        <v>0</v>
      </c>
      <c r="BO51" s="1589">
        <f t="shared" si="39"/>
        <v>0</v>
      </c>
      <c r="BP51" s="1514"/>
    </row>
    <row r="52" spans="1:68" ht="30" customHeight="1">
      <c r="A52" s="1577"/>
      <c r="B52" s="1577"/>
      <c r="C52" s="1603"/>
      <c r="D52" s="1578"/>
      <c r="E52" s="1863"/>
      <c r="F52" s="1864"/>
      <c r="G52" s="1865">
        <f t="shared" si="0"/>
        <v>0</v>
      </c>
      <c r="H52" s="1864"/>
      <c r="I52" s="1866"/>
      <c r="J52" s="1864"/>
      <c r="K52" s="1867">
        <f t="shared" si="1"/>
        <v>0</v>
      </c>
      <c r="L52" s="1864"/>
      <c r="M52" s="1866"/>
      <c r="N52" s="1863"/>
      <c r="O52" s="1864"/>
      <c r="P52" s="1867">
        <f t="shared" si="2"/>
        <v>0</v>
      </c>
      <c r="Q52" s="1864"/>
      <c r="R52" s="1866"/>
      <c r="S52" s="1863"/>
      <c r="T52" s="1864"/>
      <c r="U52" s="1867">
        <f t="shared" si="3"/>
        <v>0</v>
      </c>
      <c r="V52" s="1864"/>
      <c r="W52" s="1866"/>
      <c r="X52" s="1863"/>
      <c r="Y52" s="1864"/>
      <c r="Z52" s="1867">
        <f t="shared" si="4"/>
        <v>0</v>
      </c>
      <c r="AA52" s="1868">
        <f t="shared" si="5"/>
        <v>0</v>
      </c>
      <c r="AB52" s="1869" t="str">
        <f t="shared" si="6"/>
        <v/>
      </c>
      <c r="AC52" s="690"/>
      <c r="AD52" s="1580" t="str">
        <f t="shared" si="7"/>
        <v/>
      </c>
      <c r="AE52" s="1581">
        <f t="shared" si="8"/>
        <v>0</v>
      </c>
      <c r="AF52" s="1581">
        <f t="shared" si="9"/>
        <v>0</v>
      </c>
      <c r="AG52" s="1581">
        <f t="shared" si="10"/>
        <v>0</v>
      </c>
      <c r="AH52" s="1581">
        <f t="shared" si="11"/>
        <v>0</v>
      </c>
      <c r="AI52" s="1582">
        <f t="shared" si="12"/>
        <v>0</v>
      </c>
      <c r="AJ52" s="1583">
        <f t="shared" si="13"/>
        <v>1</v>
      </c>
      <c r="AK52" s="1581">
        <f t="shared" si="14"/>
        <v>0</v>
      </c>
      <c r="AL52" s="1584" t="e">
        <f t="shared" si="15"/>
        <v>#DIV/0!</v>
      </c>
      <c r="AM52" s="1188"/>
      <c r="AN52" s="1585">
        <f t="shared" si="16"/>
        <v>0</v>
      </c>
      <c r="AO52" s="1583">
        <f t="shared" si="17"/>
        <v>0</v>
      </c>
      <c r="AP52" s="1583">
        <f t="shared" si="18"/>
        <v>0</v>
      </c>
      <c r="AQ52" s="1583">
        <f t="shared" si="19"/>
        <v>0</v>
      </c>
      <c r="AR52" s="1586">
        <f t="shared" si="20"/>
        <v>0</v>
      </c>
      <c r="AT52" s="1587">
        <f t="shared" si="21"/>
        <v>0</v>
      </c>
      <c r="AU52" s="1583">
        <f t="shared" si="22"/>
        <v>0</v>
      </c>
      <c r="AV52" s="1583">
        <f t="shared" si="23"/>
        <v>0</v>
      </c>
      <c r="AW52" s="1583">
        <f t="shared" si="24"/>
        <v>0</v>
      </c>
      <c r="AX52" s="1583">
        <f t="shared" si="25"/>
        <v>0</v>
      </c>
      <c r="AY52" s="1588">
        <f t="shared" si="26"/>
        <v>0</v>
      </c>
      <c r="AZ52" s="1189"/>
      <c r="BA52" s="1587">
        <f t="shared" si="27"/>
        <v>0</v>
      </c>
      <c r="BB52" s="1583">
        <f t="shared" si="28"/>
        <v>0</v>
      </c>
      <c r="BC52" s="1583">
        <f t="shared" si="29"/>
        <v>0</v>
      </c>
      <c r="BD52" s="1583">
        <f t="shared" si="30"/>
        <v>0</v>
      </c>
      <c r="BE52" s="1588">
        <f t="shared" si="31"/>
        <v>0</v>
      </c>
      <c r="BG52" s="1581">
        <f t="shared" si="32"/>
        <v>43101</v>
      </c>
      <c r="BH52" s="1581">
        <f t="shared" si="33"/>
        <v>43101</v>
      </c>
      <c r="BI52" s="1581">
        <f t="shared" si="34"/>
        <v>43101</v>
      </c>
      <c r="BJ52" s="1581">
        <f t="shared" si="35"/>
        <v>0</v>
      </c>
      <c r="BL52" s="1585">
        <f t="shared" si="36"/>
        <v>0</v>
      </c>
      <c r="BM52" s="1581">
        <f t="shared" si="37"/>
        <v>0</v>
      </c>
      <c r="BN52" s="1581">
        <f t="shared" si="38"/>
        <v>0</v>
      </c>
      <c r="BO52" s="1589">
        <f t="shared" si="39"/>
        <v>0</v>
      </c>
      <c r="BP52" s="1514"/>
    </row>
    <row r="53" spans="1:68" ht="30" customHeight="1">
      <c r="A53" s="1577"/>
      <c r="B53" s="1577"/>
      <c r="C53" s="1603"/>
      <c r="D53" s="1578"/>
      <c r="E53" s="1863"/>
      <c r="F53" s="1864"/>
      <c r="G53" s="1865">
        <f t="shared" si="0"/>
        <v>0</v>
      </c>
      <c r="H53" s="1864"/>
      <c r="I53" s="1866"/>
      <c r="J53" s="1864"/>
      <c r="K53" s="1867">
        <f t="shared" si="1"/>
        <v>0</v>
      </c>
      <c r="L53" s="1864"/>
      <c r="M53" s="1866"/>
      <c r="N53" s="1863"/>
      <c r="O53" s="1864"/>
      <c r="P53" s="1867">
        <f t="shared" si="2"/>
        <v>0</v>
      </c>
      <c r="Q53" s="1864"/>
      <c r="R53" s="1866"/>
      <c r="S53" s="1863"/>
      <c r="T53" s="1864"/>
      <c r="U53" s="1867">
        <f t="shared" si="3"/>
        <v>0</v>
      </c>
      <c r="V53" s="1864"/>
      <c r="W53" s="1866"/>
      <c r="X53" s="1863"/>
      <c r="Y53" s="1864"/>
      <c r="Z53" s="1867">
        <f t="shared" si="4"/>
        <v>0</v>
      </c>
      <c r="AA53" s="1868">
        <f t="shared" si="5"/>
        <v>0</v>
      </c>
      <c r="AB53" s="1869" t="str">
        <f t="shared" si="6"/>
        <v/>
      </c>
      <c r="AC53" s="690"/>
      <c r="AD53" s="1580" t="str">
        <f t="shared" si="7"/>
        <v/>
      </c>
      <c r="AE53" s="1581">
        <f t="shared" si="8"/>
        <v>0</v>
      </c>
      <c r="AF53" s="1581">
        <f t="shared" si="9"/>
        <v>0</v>
      </c>
      <c r="AG53" s="1581">
        <f t="shared" si="10"/>
        <v>0</v>
      </c>
      <c r="AH53" s="1581">
        <f t="shared" si="11"/>
        <v>0</v>
      </c>
      <c r="AI53" s="1582">
        <f t="shared" si="12"/>
        <v>0</v>
      </c>
      <c r="AJ53" s="1583">
        <f t="shared" si="13"/>
        <v>1</v>
      </c>
      <c r="AK53" s="1581">
        <f t="shared" si="14"/>
        <v>0</v>
      </c>
      <c r="AL53" s="1584" t="e">
        <f t="shared" si="15"/>
        <v>#DIV/0!</v>
      </c>
      <c r="AM53" s="1188"/>
      <c r="AN53" s="1585">
        <f t="shared" si="16"/>
        <v>0</v>
      </c>
      <c r="AO53" s="1583">
        <f t="shared" si="17"/>
        <v>0</v>
      </c>
      <c r="AP53" s="1583">
        <f t="shared" si="18"/>
        <v>0</v>
      </c>
      <c r="AQ53" s="1583">
        <f t="shared" si="19"/>
        <v>0</v>
      </c>
      <c r="AR53" s="1586">
        <f t="shared" si="20"/>
        <v>0</v>
      </c>
      <c r="AT53" s="1587">
        <f t="shared" si="21"/>
        <v>0</v>
      </c>
      <c r="AU53" s="1583">
        <f t="shared" si="22"/>
        <v>0</v>
      </c>
      <c r="AV53" s="1583">
        <f t="shared" si="23"/>
        <v>0</v>
      </c>
      <c r="AW53" s="1583">
        <f t="shared" si="24"/>
        <v>0</v>
      </c>
      <c r="AX53" s="1583">
        <f t="shared" si="25"/>
        <v>0</v>
      </c>
      <c r="AY53" s="1588">
        <f t="shared" si="26"/>
        <v>0</v>
      </c>
      <c r="AZ53" s="1189"/>
      <c r="BA53" s="1587">
        <f t="shared" si="27"/>
        <v>0</v>
      </c>
      <c r="BB53" s="1583">
        <f t="shared" si="28"/>
        <v>0</v>
      </c>
      <c r="BC53" s="1583">
        <f t="shared" si="29"/>
        <v>0</v>
      </c>
      <c r="BD53" s="1583">
        <f t="shared" si="30"/>
        <v>0</v>
      </c>
      <c r="BE53" s="1588">
        <f t="shared" si="31"/>
        <v>0</v>
      </c>
      <c r="BG53" s="1581">
        <f t="shared" si="32"/>
        <v>43101</v>
      </c>
      <c r="BH53" s="1581">
        <f t="shared" si="33"/>
        <v>43101</v>
      </c>
      <c r="BI53" s="1581">
        <f t="shared" si="34"/>
        <v>43101</v>
      </c>
      <c r="BJ53" s="1581">
        <f t="shared" si="35"/>
        <v>0</v>
      </c>
      <c r="BL53" s="1585">
        <f t="shared" si="36"/>
        <v>0</v>
      </c>
      <c r="BM53" s="1581">
        <f t="shared" si="37"/>
        <v>0</v>
      </c>
      <c r="BN53" s="1581">
        <f t="shared" si="38"/>
        <v>0</v>
      </c>
      <c r="BO53" s="1589">
        <f t="shared" si="39"/>
        <v>0</v>
      </c>
      <c r="BP53" s="1514"/>
    </row>
    <row r="54" spans="1:68" ht="30" customHeight="1">
      <c r="A54" s="1577"/>
      <c r="B54" s="1577"/>
      <c r="C54" s="1603"/>
      <c r="D54" s="1578"/>
      <c r="E54" s="1863"/>
      <c r="F54" s="1864"/>
      <c r="G54" s="1865">
        <f t="shared" si="0"/>
        <v>0</v>
      </c>
      <c r="H54" s="1864"/>
      <c r="I54" s="1866"/>
      <c r="J54" s="1864"/>
      <c r="K54" s="1867">
        <f t="shared" si="1"/>
        <v>0</v>
      </c>
      <c r="L54" s="1864"/>
      <c r="M54" s="1866"/>
      <c r="N54" s="1863"/>
      <c r="O54" s="1864"/>
      <c r="P54" s="1867">
        <f t="shared" si="2"/>
        <v>0</v>
      </c>
      <c r="Q54" s="1864"/>
      <c r="R54" s="1866"/>
      <c r="S54" s="1863"/>
      <c r="T54" s="1864"/>
      <c r="U54" s="1867">
        <f t="shared" si="3"/>
        <v>0</v>
      </c>
      <c r="V54" s="1864"/>
      <c r="W54" s="1866"/>
      <c r="X54" s="1863"/>
      <c r="Y54" s="1864"/>
      <c r="Z54" s="1867">
        <f t="shared" si="4"/>
        <v>0</v>
      </c>
      <c r="AA54" s="1868">
        <f t="shared" si="5"/>
        <v>0</v>
      </c>
      <c r="AB54" s="1869" t="str">
        <f t="shared" si="6"/>
        <v/>
      </c>
      <c r="AC54" s="690"/>
      <c r="AD54" s="1580" t="str">
        <f t="shared" si="7"/>
        <v/>
      </c>
      <c r="AE54" s="1581">
        <f t="shared" si="8"/>
        <v>0</v>
      </c>
      <c r="AF54" s="1581">
        <f t="shared" si="9"/>
        <v>0</v>
      </c>
      <c r="AG54" s="1581">
        <f t="shared" si="10"/>
        <v>0</v>
      </c>
      <c r="AH54" s="1581">
        <f t="shared" si="11"/>
        <v>0</v>
      </c>
      <c r="AI54" s="1582">
        <f t="shared" si="12"/>
        <v>0</v>
      </c>
      <c r="AJ54" s="1583">
        <f t="shared" si="13"/>
        <v>1</v>
      </c>
      <c r="AK54" s="1581">
        <f t="shared" si="14"/>
        <v>0</v>
      </c>
      <c r="AL54" s="1584" t="e">
        <f t="shared" si="15"/>
        <v>#DIV/0!</v>
      </c>
      <c r="AM54" s="1188"/>
      <c r="AN54" s="1585">
        <f t="shared" si="16"/>
        <v>0</v>
      </c>
      <c r="AO54" s="1583">
        <f t="shared" si="17"/>
        <v>0</v>
      </c>
      <c r="AP54" s="1583">
        <f t="shared" si="18"/>
        <v>0</v>
      </c>
      <c r="AQ54" s="1583">
        <f t="shared" si="19"/>
        <v>0</v>
      </c>
      <c r="AR54" s="1586">
        <f t="shared" si="20"/>
        <v>0</v>
      </c>
      <c r="AT54" s="1587">
        <f t="shared" si="21"/>
        <v>0</v>
      </c>
      <c r="AU54" s="1583">
        <f t="shared" si="22"/>
        <v>0</v>
      </c>
      <c r="AV54" s="1583">
        <f t="shared" si="23"/>
        <v>0</v>
      </c>
      <c r="AW54" s="1583">
        <f t="shared" si="24"/>
        <v>0</v>
      </c>
      <c r="AX54" s="1583">
        <f t="shared" si="25"/>
        <v>0</v>
      </c>
      <c r="AY54" s="1588">
        <f t="shared" si="26"/>
        <v>0</v>
      </c>
      <c r="AZ54" s="1189"/>
      <c r="BA54" s="1587">
        <f t="shared" si="27"/>
        <v>0</v>
      </c>
      <c r="BB54" s="1583">
        <f t="shared" si="28"/>
        <v>0</v>
      </c>
      <c r="BC54" s="1583">
        <f t="shared" si="29"/>
        <v>0</v>
      </c>
      <c r="BD54" s="1583">
        <f t="shared" si="30"/>
        <v>0</v>
      </c>
      <c r="BE54" s="1588">
        <f t="shared" si="31"/>
        <v>0</v>
      </c>
      <c r="BG54" s="1581">
        <f t="shared" si="32"/>
        <v>43101</v>
      </c>
      <c r="BH54" s="1581">
        <f t="shared" si="33"/>
        <v>43101</v>
      </c>
      <c r="BI54" s="1581">
        <f t="shared" si="34"/>
        <v>43101</v>
      </c>
      <c r="BJ54" s="1581">
        <f t="shared" si="35"/>
        <v>0</v>
      </c>
      <c r="BL54" s="1585">
        <f t="shared" si="36"/>
        <v>0</v>
      </c>
      <c r="BM54" s="1581">
        <f t="shared" si="37"/>
        <v>0</v>
      </c>
      <c r="BN54" s="1581">
        <f t="shared" si="38"/>
        <v>0</v>
      </c>
      <c r="BO54" s="1589">
        <f t="shared" si="39"/>
        <v>0</v>
      </c>
      <c r="BP54" s="1514"/>
    </row>
    <row r="55" spans="1:68" ht="30" customHeight="1">
      <c r="A55" s="1577"/>
      <c r="B55" s="1577"/>
      <c r="C55" s="1603"/>
      <c r="D55" s="1578"/>
      <c r="E55" s="1863"/>
      <c r="F55" s="1864"/>
      <c r="G55" s="1865">
        <f t="shared" si="0"/>
        <v>0</v>
      </c>
      <c r="H55" s="1864"/>
      <c r="I55" s="1866"/>
      <c r="J55" s="1864"/>
      <c r="K55" s="1867">
        <f t="shared" si="1"/>
        <v>0</v>
      </c>
      <c r="L55" s="1864"/>
      <c r="M55" s="1866"/>
      <c r="N55" s="1863"/>
      <c r="O55" s="1864"/>
      <c r="P55" s="1867">
        <f t="shared" si="2"/>
        <v>0</v>
      </c>
      <c r="Q55" s="1864"/>
      <c r="R55" s="1866"/>
      <c r="S55" s="1863"/>
      <c r="T55" s="1864"/>
      <c r="U55" s="1867">
        <f t="shared" si="3"/>
        <v>0</v>
      </c>
      <c r="V55" s="1864"/>
      <c r="W55" s="1866"/>
      <c r="X55" s="1863"/>
      <c r="Y55" s="1864"/>
      <c r="Z55" s="1867">
        <f t="shared" si="4"/>
        <v>0</v>
      </c>
      <c r="AA55" s="1868">
        <f t="shared" si="5"/>
        <v>0</v>
      </c>
      <c r="AB55" s="1869" t="str">
        <f t="shared" si="6"/>
        <v/>
      </c>
      <c r="AC55" s="690"/>
      <c r="AD55" s="1580" t="str">
        <f t="shared" si="7"/>
        <v/>
      </c>
      <c r="AE55" s="1581">
        <f t="shared" si="8"/>
        <v>0</v>
      </c>
      <c r="AF55" s="1581">
        <f t="shared" si="9"/>
        <v>0</v>
      </c>
      <c r="AG55" s="1581">
        <f t="shared" si="10"/>
        <v>0</v>
      </c>
      <c r="AH55" s="1581">
        <f t="shared" si="11"/>
        <v>0</v>
      </c>
      <c r="AI55" s="1582">
        <f t="shared" si="12"/>
        <v>0</v>
      </c>
      <c r="AJ55" s="1583">
        <f t="shared" si="13"/>
        <v>1</v>
      </c>
      <c r="AK55" s="1581">
        <f t="shared" si="14"/>
        <v>0</v>
      </c>
      <c r="AL55" s="1584" t="e">
        <f t="shared" si="15"/>
        <v>#DIV/0!</v>
      </c>
      <c r="AM55" s="1188"/>
      <c r="AN55" s="1585">
        <f t="shared" si="16"/>
        <v>0</v>
      </c>
      <c r="AO55" s="1583">
        <f t="shared" si="17"/>
        <v>0</v>
      </c>
      <c r="AP55" s="1583">
        <f t="shared" si="18"/>
        <v>0</v>
      </c>
      <c r="AQ55" s="1583">
        <f t="shared" si="19"/>
        <v>0</v>
      </c>
      <c r="AR55" s="1586">
        <f t="shared" si="20"/>
        <v>0</v>
      </c>
      <c r="AT55" s="1587">
        <f t="shared" si="21"/>
        <v>0</v>
      </c>
      <c r="AU55" s="1583">
        <f t="shared" si="22"/>
        <v>0</v>
      </c>
      <c r="AV55" s="1583">
        <f t="shared" si="23"/>
        <v>0</v>
      </c>
      <c r="AW55" s="1583">
        <f t="shared" si="24"/>
        <v>0</v>
      </c>
      <c r="AX55" s="1583">
        <f t="shared" si="25"/>
        <v>0</v>
      </c>
      <c r="AY55" s="1588">
        <f t="shared" si="26"/>
        <v>0</v>
      </c>
      <c r="AZ55" s="1189"/>
      <c r="BA55" s="1587">
        <f t="shared" si="27"/>
        <v>0</v>
      </c>
      <c r="BB55" s="1583">
        <f t="shared" si="28"/>
        <v>0</v>
      </c>
      <c r="BC55" s="1583">
        <f t="shared" si="29"/>
        <v>0</v>
      </c>
      <c r="BD55" s="1583">
        <f t="shared" si="30"/>
        <v>0</v>
      </c>
      <c r="BE55" s="1588">
        <f t="shared" si="31"/>
        <v>0</v>
      </c>
      <c r="BG55" s="1581">
        <f t="shared" si="32"/>
        <v>43101</v>
      </c>
      <c r="BH55" s="1581">
        <f t="shared" si="33"/>
        <v>43101</v>
      </c>
      <c r="BI55" s="1581">
        <f t="shared" si="34"/>
        <v>43101</v>
      </c>
      <c r="BJ55" s="1581">
        <f t="shared" si="35"/>
        <v>0</v>
      </c>
      <c r="BL55" s="1585">
        <f t="shared" si="36"/>
        <v>0</v>
      </c>
      <c r="BM55" s="1581">
        <f t="shared" si="37"/>
        <v>0</v>
      </c>
      <c r="BN55" s="1581">
        <f t="shared" si="38"/>
        <v>0</v>
      </c>
      <c r="BO55" s="1589">
        <f t="shared" si="39"/>
        <v>0</v>
      </c>
      <c r="BP55" s="1514"/>
    </row>
    <row r="56" spans="1:68" ht="30" customHeight="1">
      <c r="A56" s="1577"/>
      <c r="B56" s="1577"/>
      <c r="C56" s="1603"/>
      <c r="D56" s="1578"/>
      <c r="E56" s="1863"/>
      <c r="F56" s="1864"/>
      <c r="G56" s="1865">
        <f t="shared" si="0"/>
        <v>0</v>
      </c>
      <c r="H56" s="1864"/>
      <c r="I56" s="1866"/>
      <c r="J56" s="1864"/>
      <c r="K56" s="1867">
        <f t="shared" si="1"/>
        <v>0</v>
      </c>
      <c r="L56" s="1864"/>
      <c r="M56" s="1866"/>
      <c r="N56" s="1863"/>
      <c r="O56" s="1864"/>
      <c r="P56" s="1867">
        <f t="shared" si="2"/>
        <v>0</v>
      </c>
      <c r="Q56" s="1864"/>
      <c r="R56" s="1866"/>
      <c r="S56" s="1863"/>
      <c r="T56" s="1864"/>
      <c r="U56" s="1867">
        <f t="shared" si="3"/>
        <v>0</v>
      </c>
      <c r="V56" s="1864"/>
      <c r="W56" s="1866"/>
      <c r="X56" s="1863"/>
      <c r="Y56" s="1864"/>
      <c r="Z56" s="1867">
        <f t="shared" si="4"/>
        <v>0</v>
      </c>
      <c r="AA56" s="1868">
        <f t="shared" si="5"/>
        <v>0</v>
      </c>
      <c r="AB56" s="1869" t="str">
        <f t="shared" si="6"/>
        <v/>
      </c>
      <c r="AC56" s="690"/>
      <c r="AD56" s="1580" t="str">
        <f t="shared" si="7"/>
        <v/>
      </c>
      <c r="AE56" s="1581">
        <f t="shared" si="8"/>
        <v>0</v>
      </c>
      <c r="AF56" s="1581">
        <f t="shared" si="9"/>
        <v>0</v>
      </c>
      <c r="AG56" s="1581">
        <f t="shared" si="10"/>
        <v>0</v>
      </c>
      <c r="AH56" s="1581">
        <f t="shared" si="11"/>
        <v>0</v>
      </c>
      <c r="AI56" s="1582">
        <f t="shared" si="12"/>
        <v>0</v>
      </c>
      <c r="AJ56" s="1583">
        <f t="shared" si="13"/>
        <v>1</v>
      </c>
      <c r="AK56" s="1581">
        <f t="shared" si="14"/>
        <v>0</v>
      </c>
      <c r="AL56" s="1584" t="e">
        <f t="shared" si="15"/>
        <v>#DIV/0!</v>
      </c>
      <c r="AM56" s="1188"/>
      <c r="AN56" s="1585">
        <f t="shared" si="16"/>
        <v>0</v>
      </c>
      <c r="AO56" s="1583">
        <f t="shared" si="17"/>
        <v>0</v>
      </c>
      <c r="AP56" s="1583">
        <f t="shared" si="18"/>
        <v>0</v>
      </c>
      <c r="AQ56" s="1583">
        <f t="shared" si="19"/>
        <v>0</v>
      </c>
      <c r="AR56" s="1586">
        <f t="shared" si="20"/>
        <v>0</v>
      </c>
      <c r="AT56" s="1587">
        <f t="shared" si="21"/>
        <v>0</v>
      </c>
      <c r="AU56" s="1583">
        <f t="shared" si="22"/>
        <v>0</v>
      </c>
      <c r="AV56" s="1583">
        <f t="shared" si="23"/>
        <v>0</v>
      </c>
      <c r="AW56" s="1583">
        <f t="shared" si="24"/>
        <v>0</v>
      </c>
      <c r="AX56" s="1583">
        <f t="shared" si="25"/>
        <v>0</v>
      </c>
      <c r="AY56" s="1588">
        <f t="shared" si="26"/>
        <v>0</v>
      </c>
      <c r="AZ56" s="1189"/>
      <c r="BA56" s="1587">
        <f t="shared" si="27"/>
        <v>0</v>
      </c>
      <c r="BB56" s="1583">
        <f t="shared" si="28"/>
        <v>0</v>
      </c>
      <c r="BC56" s="1583">
        <f t="shared" si="29"/>
        <v>0</v>
      </c>
      <c r="BD56" s="1583">
        <f t="shared" si="30"/>
        <v>0</v>
      </c>
      <c r="BE56" s="1588">
        <f t="shared" si="31"/>
        <v>0</v>
      </c>
      <c r="BG56" s="1581">
        <f t="shared" si="32"/>
        <v>43101</v>
      </c>
      <c r="BH56" s="1581">
        <f t="shared" si="33"/>
        <v>43101</v>
      </c>
      <c r="BI56" s="1581">
        <f t="shared" si="34"/>
        <v>43101</v>
      </c>
      <c r="BJ56" s="1581">
        <f t="shared" si="35"/>
        <v>0</v>
      </c>
      <c r="BL56" s="1585">
        <f t="shared" si="36"/>
        <v>0</v>
      </c>
      <c r="BM56" s="1581">
        <f t="shared" si="37"/>
        <v>0</v>
      </c>
      <c r="BN56" s="1581">
        <f t="shared" si="38"/>
        <v>0</v>
      </c>
      <c r="BO56" s="1589">
        <f t="shared" si="39"/>
        <v>0</v>
      </c>
      <c r="BP56" s="1514"/>
    </row>
    <row r="57" spans="1:68" ht="30" customHeight="1">
      <c r="A57" s="1577"/>
      <c r="B57" s="1577"/>
      <c r="C57" s="1603"/>
      <c r="D57" s="1578"/>
      <c r="E57" s="1863"/>
      <c r="F57" s="1864"/>
      <c r="G57" s="1865">
        <f t="shared" si="0"/>
        <v>0</v>
      </c>
      <c r="H57" s="1864"/>
      <c r="I57" s="1866"/>
      <c r="J57" s="1864"/>
      <c r="K57" s="1867">
        <f t="shared" si="1"/>
        <v>0</v>
      </c>
      <c r="L57" s="1864"/>
      <c r="M57" s="1866"/>
      <c r="N57" s="1863"/>
      <c r="O57" s="1864"/>
      <c r="P57" s="1867">
        <f t="shared" si="2"/>
        <v>0</v>
      </c>
      <c r="Q57" s="1864"/>
      <c r="R57" s="1866"/>
      <c r="S57" s="1863"/>
      <c r="T57" s="1864"/>
      <c r="U57" s="1867">
        <f t="shared" si="3"/>
        <v>0</v>
      </c>
      <c r="V57" s="1864"/>
      <c r="W57" s="1866"/>
      <c r="X57" s="1863"/>
      <c r="Y57" s="1864"/>
      <c r="Z57" s="1867">
        <f t="shared" si="4"/>
        <v>0</v>
      </c>
      <c r="AA57" s="1868">
        <f t="shared" si="5"/>
        <v>0</v>
      </c>
      <c r="AB57" s="1869" t="str">
        <f t="shared" si="6"/>
        <v/>
      </c>
      <c r="AC57" s="690"/>
      <c r="AD57" s="1580" t="str">
        <f t="shared" si="7"/>
        <v/>
      </c>
      <c r="AE57" s="1581">
        <f t="shared" si="8"/>
        <v>0</v>
      </c>
      <c r="AF57" s="1581">
        <f t="shared" si="9"/>
        <v>0</v>
      </c>
      <c r="AG57" s="1581">
        <f t="shared" si="10"/>
        <v>0</v>
      </c>
      <c r="AH57" s="1581">
        <f t="shared" si="11"/>
        <v>0</v>
      </c>
      <c r="AI57" s="1582">
        <f t="shared" si="12"/>
        <v>0</v>
      </c>
      <c r="AJ57" s="1583">
        <f t="shared" si="13"/>
        <v>1</v>
      </c>
      <c r="AK57" s="1581">
        <f t="shared" si="14"/>
        <v>0</v>
      </c>
      <c r="AL57" s="1584" t="e">
        <f t="shared" si="15"/>
        <v>#DIV/0!</v>
      </c>
      <c r="AM57" s="1188"/>
      <c r="AN57" s="1585">
        <f t="shared" si="16"/>
        <v>0</v>
      </c>
      <c r="AO57" s="1583">
        <f t="shared" si="17"/>
        <v>0</v>
      </c>
      <c r="AP57" s="1583">
        <f t="shared" si="18"/>
        <v>0</v>
      </c>
      <c r="AQ57" s="1583">
        <f t="shared" si="19"/>
        <v>0</v>
      </c>
      <c r="AR57" s="1586">
        <f t="shared" si="20"/>
        <v>0</v>
      </c>
      <c r="AT57" s="1587">
        <f t="shared" si="21"/>
        <v>0</v>
      </c>
      <c r="AU57" s="1583">
        <f t="shared" si="22"/>
        <v>0</v>
      </c>
      <c r="AV57" s="1583">
        <f t="shared" si="23"/>
        <v>0</v>
      </c>
      <c r="AW57" s="1583">
        <f t="shared" si="24"/>
        <v>0</v>
      </c>
      <c r="AX57" s="1583">
        <f t="shared" si="25"/>
        <v>0</v>
      </c>
      <c r="AY57" s="1588">
        <f t="shared" si="26"/>
        <v>0</v>
      </c>
      <c r="AZ57" s="1189"/>
      <c r="BA57" s="1587">
        <f t="shared" si="27"/>
        <v>0</v>
      </c>
      <c r="BB57" s="1583">
        <f t="shared" si="28"/>
        <v>0</v>
      </c>
      <c r="BC57" s="1583">
        <f t="shared" si="29"/>
        <v>0</v>
      </c>
      <c r="BD57" s="1583">
        <f t="shared" si="30"/>
        <v>0</v>
      </c>
      <c r="BE57" s="1588">
        <f t="shared" si="31"/>
        <v>0</v>
      </c>
      <c r="BG57" s="1581">
        <f t="shared" si="32"/>
        <v>43101</v>
      </c>
      <c r="BH57" s="1581">
        <f t="shared" si="33"/>
        <v>43101</v>
      </c>
      <c r="BI57" s="1581">
        <f t="shared" si="34"/>
        <v>43101</v>
      </c>
      <c r="BJ57" s="1581">
        <f t="shared" si="35"/>
        <v>0</v>
      </c>
      <c r="BL57" s="1585">
        <f t="shared" si="36"/>
        <v>0</v>
      </c>
      <c r="BM57" s="1581">
        <f t="shared" si="37"/>
        <v>0</v>
      </c>
      <c r="BN57" s="1581">
        <f t="shared" si="38"/>
        <v>0</v>
      </c>
      <c r="BO57" s="1589">
        <f t="shared" si="39"/>
        <v>0</v>
      </c>
      <c r="BP57" s="1514"/>
    </row>
    <row r="58" spans="1:68" ht="30" customHeight="1">
      <c r="A58" s="1577"/>
      <c r="B58" s="1577"/>
      <c r="C58" s="1603"/>
      <c r="D58" s="1578"/>
      <c r="E58" s="1863"/>
      <c r="F58" s="1864"/>
      <c r="G58" s="1865">
        <f t="shared" si="0"/>
        <v>0</v>
      </c>
      <c r="H58" s="1864"/>
      <c r="I58" s="1866"/>
      <c r="J58" s="1864"/>
      <c r="K58" s="1867">
        <f t="shared" si="1"/>
        <v>0</v>
      </c>
      <c r="L58" s="1864"/>
      <c r="M58" s="1866"/>
      <c r="N58" s="1863"/>
      <c r="O58" s="1864"/>
      <c r="P58" s="1867">
        <f t="shared" si="2"/>
        <v>0</v>
      </c>
      <c r="Q58" s="1864"/>
      <c r="R58" s="1866"/>
      <c r="S58" s="1863"/>
      <c r="T58" s="1864"/>
      <c r="U58" s="1867">
        <f t="shared" si="3"/>
        <v>0</v>
      </c>
      <c r="V58" s="1864"/>
      <c r="W58" s="1866"/>
      <c r="X58" s="1863"/>
      <c r="Y58" s="1864"/>
      <c r="Z58" s="1867">
        <f t="shared" si="4"/>
        <v>0</v>
      </c>
      <c r="AA58" s="1868">
        <f t="shared" si="5"/>
        <v>0</v>
      </c>
      <c r="AB58" s="1869" t="str">
        <f t="shared" si="6"/>
        <v/>
      </c>
      <c r="AC58" s="690"/>
      <c r="AD58" s="1580" t="str">
        <f t="shared" si="7"/>
        <v/>
      </c>
      <c r="AE58" s="1581">
        <f t="shared" si="8"/>
        <v>0</v>
      </c>
      <c r="AF58" s="1581">
        <f t="shared" si="9"/>
        <v>0</v>
      </c>
      <c r="AG58" s="1581">
        <f t="shared" si="10"/>
        <v>0</v>
      </c>
      <c r="AH58" s="1581">
        <f t="shared" si="11"/>
        <v>0</v>
      </c>
      <c r="AI58" s="1582">
        <f t="shared" si="12"/>
        <v>0</v>
      </c>
      <c r="AJ58" s="1583">
        <f t="shared" si="13"/>
        <v>1</v>
      </c>
      <c r="AK58" s="1581">
        <f t="shared" si="14"/>
        <v>0</v>
      </c>
      <c r="AL58" s="1584" t="e">
        <f t="shared" si="15"/>
        <v>#DIV/0!</v>
      </c>
      <c r="AM58" s="1188"/>
      <c r="AN58" s="1585">
        <f t="shared" si="16"/>
        <v>0</v>
      </c>
      <c r="AO58" s="1583">
        <f t="shared" si="17"/>
        <v>0</v>
      </c>
      <c r="AP58" s="1583">
        <f t="shared" si="18"/>
        <v>0</v>
      </c>
      <c r="AQ58" s="1583">
        <f t="shared" si="19"/>
        <v>0</v>
      </c>
      <c r="AR58" s="1586">
        <f t="shared" si="20"/>
        <v>0</v>
      </c>
      <c r="AT58" s="1587">
        <f t="shared" si="21"/>
        <v>0</v>
      </c>
      <c r="AU58" s="1583">
        <f t="shared" si="22"/>
        <v>0</v>
      </c>
      <c r="AV58" s="1583">
        <f t="shared" si="23"/>
        <v>0</v>
      </c>
      <c r="AW58" s="1583">
        <f t="shared" si="24"/>
        <v>0</v>
      </c>
      <c r="AX58" s="1583">
        <f t="shared" si="25"/>
        <v>0</v>
      </c>
      <c r="AY58" s="1588">
        <f t="shared" si="26"/>
        <v>0</v>
      </c>
      <c r="AZ58" s="1189"/>
      <c r="BA58" s="1587">
        <f t="shared" si="27"/>
        <v>0</v>
      </c>
      <c r="BB58" s="1583">
        <f t="shared" si="28"/>
        <v>0</v>
      </c>
      <c r="BC58" s="1583">
        <f t="shared" si="29"/>
        <v>0</v>
      </c>
      <c r="BD58" s="1583">
        <f t="shared" si="30"/>
        <v>0</v>
      </c>
      <c r="BE58" s="1588">
        <f t="shared" si="31"/>
        <v>0</v>
      </c>
      <c r="BG58" s="1581">
        <f t="shared" si="32"/>
        <v>43101</v>
      </c>
      <c r="BH58" s="1581">
        <f t="shared" si="33"/>
        <v>43101</v>
      </c>
      <c r="BI58" s="1581">
        <f t="shared" si="34"/>
        <v>43101</v>
      </c>
      <c r="BJ58" s="1581">
        <f t="shared" si="35"/>
        <v>0</v>
      </c>
      <c r="BL58" s="1585">
        <f t="shared" si="36"/>
        <v>0</v>
      </c>
      <c r="BM58" s="1581">
        <f t="shared" si="37"/>
        <v>0</v>
      </c>
      <c r="BN58" s="1581">
        <f t="shared" si="38"/>
        <v>0</v>
      </c>
      <c r="BO58" s="1589">
        <f t="shared" si="39"/>
        <v>0</v>
      </c>
      <c r="BP58" s="1514"/>
    </row>
    <row r="59" spans="1:68" ht="30" customHeight="1">
      <c r="A59" s="1577"/>
      <c r="B59" s="1577"/>
      <c r="C59" s="1603"/>
      <c r="D59" s="1578"/>
      <c r="E59" s="1863"/>
      <c r="F59" s="1864"/>
      <c r="G59" s="1865">
        <f t="shared" si="0"/>
        <v>0</v>
      </c>
      <c r="H59" s="1864"/>
      <c r="I59" s="1866"/>
      <c r="J59" s="1864"/>
      <c r="K59" s="1867">
        <f t="shared" si="1"/>
        <v>0</v>
      </c>
      <c r="L59" s="1864"/>
      <c r="M59" s="1866"/>
      <c r="N59" s="1863"/>
      <c r="O59" s="1864"/>
      <c r="P59" s="1867">
        <f t="shared" si="2"/>
        <v>0</v>
      </c>
      <c r="Q59" s="1864"/>
      <c r="R59" s="1866"/>
      <c r="S59" s="1863"/>
      <c r="T59" s="1864"/>
      <c r="U59" s="1867">
        <f t="shared" si="3"/>
        <v>0</v>
      </c>
      <c r="V59" s="1864"/>
      <c r="W59" s="1866"/>
      <c r="X59" s="1863"/>
      <c r="Y59" s="1864"/>
      <c r="Z59" s="1867">
        <f t="shared" si="4"/>
        <v>0</v>
      </c>
      <c r="AA59" s="1868">
        <f t="shared" si="5"/>
        <v>0</v>
      </c>
      <c r="AB59" s="1869" t="str">
        <f t="shared" si="6"/>
        <v/>
      </c>
      <c r="AC59" s="690"/>
      <c r="AD59" s="1580" t="str">
        <f t="shared" si="7"/>
        <v/>
      </c>
      <c r="AE59" s="1581">
        <f t="shared" si="8"/>
        <v>0</v>
      </c>
      <c r="AF59" s="1581">
        <f t="shared" si="9"/>
        <v>0</v>
      </c>
      <c r="AG59" s="1581">
        <f t="shared" si="10"/>
        <v>0</v>
      </c>
      <c r="AH59" s="1581">
        <f t="shared" si="11"/>
        <v>0</v>
      </c>
      <c r="AI59" s="1582">
        <f t="shared" si="12"/>
        <v>0</v>
      </c>
      <c r="AJ59" s="1583">
        <f t="shared" si="13"/>
        <v>1</v>
      </c>
      <c r="AK59" s="1581">
        <f t="shared" si="14"/>
        <v>0</v>
      </c>
      <c r="AL59" s="1584" t="e">
        <f t="shared" si="15"/>
        <v>#DIV/0!</v>
      </c>
      <c r="AM59" s="1188"/>
      <c r="AN59" s="1585">
        <f t="shared" si="16"/>
        <v>0</v>
      </c>
      <c r="AO59" s="1583">
        <f t="shared" si="17"/>
        <v>0</v>
      </c>
      <c r="AP59" s="1583">
        <f t="shared" si="18"/>
        <v>0</v>
      </c>
      <c r="AQ59" s="1583">
        <f t="shared" si="19"/>
        <v>0</v>
      </c>
      <c r="AR59" s="1586">
        <f t="shared" si="20"/>
        <v>0</v>
      </c>
      <c r="AT59" s="1587">
        <f t="shared" si="21"/>
        <v>0</v>
      </c>
      <c r="AU59" s="1583">
        <f t="shared" si="22"/>
        <v>0</v>
      </c>
      <c r="AV59" s="1583">
        <f t="shared" si="23"/>
        <v>0</v>
      </c>
      <c r="AW59" s="1583">
        <f t="shared" si="24"/>
        <v>0</v>
      </c>
      <c r="AX59" s="1583">
        <f t="shared" si="25"/>
        <v>0</v>
      </c>
      <c r="AY59" s="1588">
        <f t="shared" si="26"/>
        <v>0</v>
      </c>
      <c r="AZ59" s="1189"/>
      <c r="BA59" s="1587">
        <f t="shared" si="27"/>
        <v>0</v>
      </c>
      <c r="BB59" s="1583">
        <f t="shared" si="28"/>
        <v>0</v>
      </c>
      <c r="BC59" s="1583">
        <f t="shared" si="29"/>
        <v>0</v>
      </c>
      <c r="BD59" s="1583">
        <f t="shared" si="30"/>
        <v>0</v>
      </c>
      <c r="BE59" s="1588">
        <f t="shared" si="31"/>
        <v>0</v>
      </c>
      <c r="BG59" s="1581">
        <f t="shared" si="32"/>
        <v>43101</v>
      </c>
      <c r="BH59" s="1581">
        <f t="shared" si="33"/>
        <v>43101</v>
      </c>
      <c r="BI59" s="1581">
        <f t="shared" si="34"/>
        <v>43101</v>
      </c>
      <c r="BJ59" s="1581">
        <f t="shared" si="35"/>
        <v>0</v>
      </c>
      <c r="BL59" s="1585">
        <f t="shared" si="36"/>
        <v>0</v>
      </c>
      <c r="BM59" s="1581">
        <f t="shared" si="37"/>
        <v>0</v>
      </c>
      <c r="BN59" s="1581">
        <f t="shared" si="38"/>
        <v>0</v>
      </c>
      <c r="BO59" s="1589">
        <f t="shared" si="39"/>
        <v>0</v>
      </c>
      <c r="BP59" s="1514"/>
    </row>
    <row r="60" spans="1:68" ht="30" customHeight="1">
      <c r="A60" s="1577"/>
      <c r="B60" s="1577"/>
      <c r="C60" s="1603"/>
      <c r="D60" s="1578"/>
      <c r="E60" s="1863"/>
      <c r="F60" s="1864"/>
      <c r="G60" s="1865">
        <f t="shared" si="0"/>
        <v>0</v>
      </c>
      <c r="H60" s="1864"/>
      <c r="I60" s="1866"/>
      <c r="J60" s="1864"/>
      <c r="K60" s="1867">
        <f t="shared" si="1"/>
        <v>0</v>
      </c>
      <c r="L60" s="1864"/>
      <c r="M60" s="1866"/>
      <c r="N60" s="1863"/>
      <c r="O60" s="1864"/>
      <c r="P60" s="1867">
        <f t="shared" si="2"/>
        <v>0</v>
      </c>
      <c r="Q60" s="1864"/>
      <c r="R60" s="1866"/>
      <c r="S60" s="1863"/>
      <c r="T60" s="1864"/>
      <c r="U60" s="1867">
        <f t="shared" si="3"/>
        <v>0</v>
      </c>
      <c r="V60" s="1864"/>
      <c r="W60" s="1866"/>
      <c r="X60" s="1863"/>
      <c r="Y60" s="1864"/>
      <c r="Z60" s="1867">
        <f t="shared" si="4"/>
        <v>0</v>
      </c>
      <c r="AA60" s="1868">
        <f t="shared" si="5"/>
        <v>0</v>
      </c>
      <c r="AB60" s="1869" t="str">
        <f t="shared" si="6"/>
        <v/>
      </c>
      <c r="AC60" s="690"/>
      <c r="AD60" s="1580" t="str">
        <f t="shared" si="7"/>
        <v/>
      </c>
      <c r="AE60" s="1581">
        <f t="shared" si="8"/>
        <v>0</v>
      </c>
      <c r="AF60" s="1581">
        <f t="shared" si="9"/>
        <v>0</v>
      </c>
      <c r="AG60" s="1581">
        <f t="shared" si="10"/>
        <v>0</v>
      </c>
      <c r="AH60" s="1581">
        <f t="shared" si="11"/>
        <v>0</v>
      </c>
      <c r="AI60" s="1582">
        <f t="shared" si="12"/>
        <v>0</v>
      </c>
      <c r="AJ60" s="1583">
        <f t="shared" si="13"/>
        <v>1</v>
      </c>
      <c r="AK60" s="1581">
        <f t="shared" si="14"/>
        <v>0</v>
      </c>
      <c r="AL60" s="1584" t="e">
        <f t="shared" si="15"/>
        <v>#DIV/0!</v>
      </c>
      <c r="AM60" s="1188"/>
      <c r="AN60" s="1585">
        <f t="shared" si="16"/>
        <v>0</v>
      </c>
      <c r="AO60" s="1583">
        <f t="shared" si="17"/>
        <v>0</v>
      </c>
      <c r="AP60" s="1583">
        <f t="shared" si="18"/>
        <v>0</v>
      </c>
      <c r="AQ60" s="1583">
        <f t="shared" si="19"/>
        <v>0</v>
      </c>
      <c r="AR60" s="1586">
        <f t="shared" si="20"/>
        <v>0</v>
      </c>
      <c r="AT60" s="1587">
        <f t="shared" si="21"/>
        <v>0</v>
      </c>
      <c r="AU60" s="1583">
        <f t="shared" si="22"/>
        <v>0</v>
      </c>
      <c r="AV60" s="1583">
        <f t="shared" si="23"/>
        <v>0</v>
      </c>
      <c r="AW60" s="1583">
        <f t="shared" si="24"/>
        <v>0</v>
      </c>
      <c r="AX60" s="1583">
        <f t="shared" si="25"/>
        <v>0</v>
      </c>
      <c r="AY60" s="1588">
        <f t="shared" si="26"/>
        <v>0</v>
      </c>
      <c r="AZ60" s="1189"/>
      <c r="BA60" s="1587">
        <f t="shared" si="27"/>
        <v>0</v>
      </c>
      <c r="BB60" s="1583">
        <f t="shared" si="28"/>
        <v>0</v>
      </c>
      <c r="BC60" s="1583">
        <f t="shared" si="29"/>
        <v>0</v>
      </c>
      <c r="BD60" s="1583">
        <f t="shared" si="30"/>
        <v>0</v>
      </c>
      <c r="BE60" s="1588">
        <f t="shared" si="31"/>
        <v>0</v>
      </c>
      <c r="BG60" s="1581">
        <f t="shared" si="32"/>
        <v>43101</v>
      </c>
      <c r="BH60" s="1581">
        <f t="shared" si="33"/>
        <v>43101</v>
      </c>
      <c r="BI60" s="1581">
        <f t="shared" si="34"/>
        <v>43101</v>
      </c>
      <c r="BJ60" s="1581">
        <f t="shared" si="35"/>
        <v>0</v>
      </c>
      <c r="BL60" s="1585">
        <f t="shared" si="36"/>
        <v>0</v>
      </c>
      <c r="BM60" s="1581">
        <f t="shared" si="37"/>
        <v>0</v>
      </c>
      <c r="BN60" s="1581">
        <f t="shared" si="38"/>
        <v>0</v>
      </c>
      <c r="BO60" s="1589">
        <f t="shared" si="39"/>
        <v>0</v>
      </c>
      <c r="BP60" s="1514"/>
    </row>
    <row r="61" spans="1:68" ht="30" customHeight="1">
      <c r="A61" s="1577"/>
      <c r="B61" s="1577"/>
      <c r="C61" s="1603"/>
      <c r="D61" s="1578"/>
      <c r="E61" s="1863"/>
      <c r="F61" s="1864"/>
      <c r="G61" s="1865">
        <f t="shared" si="0"/>
        <v>0</v>
      </c>
      <c r="H61" s="1864"/>
      <c r="I61" s="1866"/>
      <c r="J61" s="1864"/>
      <c r="K61" s="1867">
        <f t="shared" si="1"/>
        <v>0</v>
      </c>
      <c r="L61" s="1864"/>
      <c r="M61" s="1866"/>
      <c r="N61" s="1863"/>
      <c r="O61" s="1864"/>
      <c r="P61" s="1867">
        <f t="shared" si="2"/>
        <v>0</v>
      </c>
      <c r="Q61" s="1864"/>
      <c r="R61" s="1866"/>
      <c r="S61" s="1863"/>
      <c r="T61" s="1864"/>
      <c r="U61" s="1867">
        <f t="shared" si="3"/>
        <v>0</v>
      </c>
      <c r="V61" s="1864"/>
      <c r="W61" s="1866"/>
      <c r="X61" s="1863"/>
      <c r="Y61" s="1864"/>
      <c r="Z61" s="1867">
        <f t="shared" si="4"/>
        <v>0</v>
      </c>
      <c r="AA61" s="1868">
        <f t="shared" si="5"/>
        <v>0</v>
      </c>
      <c r="AB61" s="1869" t="str">
        <f t="shared" si="6"/>
        <v/>
      </c>
      <c r="AC61" s="690"/>
      <c r="AD61" s="1580" t="str">
        <f t="shared" si="7"/>
        <v/>
      </c>
      <c r="AE61" s="1581">
        <f t="shared" si="8"/>
        <v>0</v>
      </c>
      <c r="AF61" s="1581">
        <f t="shared" si="9"/>
        <v>0</v>
      </c>
      <c r="AG61" s="1581">
        <f t="shared" si="10"/>
        <v>0</v>
      </c>
      <c r="AH61" s="1581">
        <f t="shared" si="11"/>
        <v>0</v>
      </c>
      <c r="AI61" s="1582">
        <f t="shared" si="12"/>
        <v>0</v>
      </c>
      <c r="AJ61" s="1583">
        <f t="shared" si="13"/>
        <v>1</v>
      </c>
      <c r="AK61" s="1581">
        <f t="shared" si="14"/>
        <v>0</v>
      </c>
      <c r="AL61" s="1584" t="e">
        <f t="shared" si="15"/>
        <v>#DIV/0!</v>
      </c>
      <c r="AM61" s="1188"/>
      <c r="AN61" s="1585">
        <f t="shared" si="16"/>
        <v>0</v>
      </c>
      <c r="AO61" s="1583">
        <f t="shared" si="17"/>
        <v>0</v>
      </c>
      <c r="AP61" s="1583">
        <f t="shared" si="18"/>
        <v>0</v>
      </c>
      <c r="AQ61" s="1583">
        <f t="shared" si="19"/>
        <v>0</v>
      </c>
      <c r="AR61" s="1586">
        <f t="shared" si="20"/>
        <v>0</v>
      </c>
      <c r="AT61" s="1587">
        <f t="shared" si="21"/>
        <v>0</v>
      </c>
      <c r="AU61" s="1583">
        <f t="shared" si="22"/>
        <v>0</v>
      </c>
      <c r="AV61" s="1583">
        <f t="shared" si="23"/>
        <v>0</v>
      </c>
      <c r="AW61" s="1583">
        <f t="shared" si="24"/>
        <v>0</v>
      </c>
      <c r="AX61" s="1583">
        <f t="shared" si="25"/>
        <v>0</v>
      </c>
      <c r="AY61" s="1588">
        <f t="shared" si="26"/>
        <v>0</v>
      </c>
      <c r="AZ61" s="1189"/>
      <c r="BA61" s="1587">
        <f t="shared" si="27"/>
        <v>0</v>
      </c>
      <c r="BB61" s="1583">
        <f t="shared" si="28"/>
        <v>0</v>
      </c>
      <c r="BC61" s="1583">
        <f t="shared" si="29"/>
        <v>0</v>
      </c>
      <c r="BD61" s="1583">
        <f t="shared" si="30"/>
        <v>0</v>
      </c>
      <c r="BE61" s="1588">
        <f t="shared" si="31"/>
        <v>0</v>
      </c>
      <c r="BG61" s="1581">
        <f t="shared" si="32"/>
        <v>43101</v>
      </c>
      <c r="BH61" s="1581">
        <f t="shared" si="33"/>
        <v>43101</v>
      </c>
      <c r="BI61" s="1581">
        <f t="shared" si="34"/>
        <v>43101</v>
      </c>
      <c r="BJ61" s="1581">
        <f t="shared" si="35"/>
        <v>0</v>
      </c>
      <c r="BL61" s="1585">
        <f t="shared" si="36"/>
        <v>0</v>
      </c>
      <c r="BM61" s="1581">
        <f t="shared" si="37"/>
        <v>0</v>
      </c>
      <c r="BN61" s="1581">
        <f t="shared" si="38"/>
        <v>0</v>
      </c>
      <c r="BO61" s="1589">
        <f t="shared" si="39"/>
        <v>0</v>
      </c>
      <c r="BP61" s="1514"/>
    </row>
    <row r="62" spans="1:68" ht="30" customHeight="1">
      <c r="A62" s="1577"/>
      <c r="B62" s="1577"/>
      <c r="C62" s="1603"/>
      <c r="D62" s="1578"/>
      <c r="E62" s="1863"/>
      <c r="F62" s="1864"/>
      <c r="G62" s="1865">
        <f t="shared" si="0"/>
        <v>0</v>
      </c>
      <c r="H62" s="1864"/>
      <c r="I62" s="1866"/>
      <c r="J62" s="1864"/>
      <c r="K62" s="1867">
        <f t="shared" si="1"/>
        <v>0</v>
      </c>
      <c r="L62" s="1864"/>
      <c r="M62" s="1866"/>
      <c r="N62" s="1863"/>
      <c r="O62" s="1864"/>
      <c r="P62" s="1867">
        <f t="shared" si="2"/>
        <v>0</v>
      </c>
      <c r="Q62" s="1864"/>
      <c r="R62" s="1866"/>
      <c r="S62" s="1863"/>
      <c r="T62" s="1864"/>
      <c r="U62" s="1867">
        <f t="shared" si="3"/>
        <v>0</v>
      </c>
      <c r="V62" s="1864"/>
      <c r="W62" s="1866"/>
      <c r="X62" s="1863"/>
      <c r="Y62" s="1864"/>
      <c r="Z62" s="1867">
        <f t="shared" si="4"/>
        <v>0</v>
      </c>
      <c r="AA62" s="1868">
        <f t="shared" si="5"/>
        <v>0</v>
      </c>
      <c r="AB62" s="1869" t="str">
        <f t="shared" si="6"/>
        <v/>
      </c>
      <c r="AC62" s="690"/>
      <c r="AD62" s="1580" t="str">
        <f t="shared" si="7"/>
        <v/>
      </c>
      <c r="AE62" s="1581">
        <f t="shared" si="8"/>
        <v>0</v>
      </c>
      <c r="AF62" s="1581">
        <f t="shared" si="9"/>
        <v>0</v>
      </c>
      <c r="AG62" s="1581">
        <f t="shared" si="10"/>
        <v>0</v>
      </c>
      <c r="AH62" s="1581">
        <f t="shared" si="11"/>
        <v>0</v>
      </c>
      <c r="AI62" s="1582">
        <f t="shared" si="12"/>
        <v>0</v>
      </c>
      <c r="AJ62" s="1583">
        <f t="shared" si="13"/>
        <v>1</v>
      </c>
      <c r="AK62" s="1581">
        <f t="shared" si="14"/>
        <v>0</v>
      </c>
      <c r="AL62" s="1584" t="e">
        <f t="shared" si="15"/>
        <v>#DIV/0!</v>
      </c>
      <c r="AM62" s="1188"/>
      <c r="AN62" s="1585">
        <f t="shared" si="16"/>
        <v>0</v>
      </c>
      <c r="AO62" s="1583">
        <f t="shared" si="17"/>
        <v>0</v>
      </c>
      <c r="AP62" s="1583">
        <f t="shared" si="18"/>
        <v>0</v>
      </c>
      <c r="AQ62" s="1583">
        <f t="shared" si="19"/>
        <v>0</v>
      </c>
      <c r="AR62" s="1586">
        <f t="shared" si="20"/>
        <v>0</v>
      </c>
      <c r="AT62" s="1587">
        <f t="shared" si="21"/>
        <v>0</v>
      </c>
      <c r="AU62" s="1583">
        <f t="shared" si="22"/>
        <v>0</v>
      </c>
      <c r="AV62" s="1583">
        <f t="shared" si="23"/>
        <v>0</v>
      </c>
      <c r="AW62" s="1583">
        <f t="shared" si="24"/>
        <v>0</v>
      </c>
      <c r="AX62" s="1583">
        <f t="shared" si="25"/>
        <v>0</v>
      </c>
      <c r="AY62" s="1588">
        <f t="shared" si="26"/>
        <v>0</v>
      </c>
      <c r="AZ62" s="1189"/>
      <c r="BA62" s="1587">
        <f t="shared" si="27"/>
        <v>0</v>
      </c>
      <c r="BB62" s="1583">
        <f t="shared" si="28"/>
        <v>0</v>
      </c>
      <c r="BC62" s="1583">
        <f t="shared" si="29"/>
        <v>0</v>
      </c>
      <c r="BD62" s="1583">
        <f t="shared" si="30"/>
        <v>0</v>
      </c>
      <c r="BE62" s="1588">
        <f t="shared" si="31"/>
        <v>0</v>
      </c>
      <c r="BG62" s="1581">
        <f t="shared" si="32"/>
        <v>43101</v>
      </c>
      <c r="BH62" s="1581">
        <f t="shared" si="33"/>
        <v>43101</v>
      </c>
      <c r="BI62" s="1581">
        <f t="shared" si="34"/>
        <v>43101</v>
      </c>
      <c r="BJ62" s="1581">
        <f t="shared" si="35"/>
        <v>0</v>
      </c>
      <c r="BL62" s="1585">
        <f t="shared" si="36"/>
        <v>0</v>
      </c>
      <c r="BM62" s="1581">
        <f t="shared" si="37"/>
        <v>0</v>
      </c>
      <c r="BN62" s="1581">
        <f t="shared" si="38"/>
        <v>0</v>
      </c>
      <c r="BO62" s="1589">
        <f t="shared" si="39"/>
        <v>0</v>
      </c>
      <c r="BP62" s="1514"/>
    </row>
    <row r="63" spans="1:68" ht="30" customHeight="1">
      <c r="A63" s="1577"/>
      <c r="B63" s="1577"/>
      <c r="C63" s="1603"/>
      <c r="D63" s="1578"/>
      <c r="E63" s="1863"/>
      <c r="F63" s="1864"/>
      <c r="G63" s="1865">
        <f t="shared" si="0"/>
        <v>0</v>
      </c>
      <c r="H63" s="1864"/>
      <c r="I63" s="1866"/>
      <c r="J63" s="1864"/>
      <c r="K63" s="1867">
        <f t="shared" si="1"/>
        <v>0</v>
      </c>
      <c r="L63" s="1864"/>
      <c r="M63" s="1866"/>
      <c r="N63" s="1863"/>
      <c r="O63" s="1864"/>
      <c r="P63" s="1867">
        <f t="shared" si="2"/>
        <v>0</v>
      </c>
      <c r="Q63" s="1864"/>
      <c r="R63" s="1866"/>
      <c r="S63" s="1863"/>
      <c r="T63" s="1864"/>
      <c r="U63" s="1867">
        <f t="shared" si="3"/>
        <v>0</v>
      </c>
      <c r="V63" s="1864"/>
      <c r="W63" s="1866"/>
      <c r="X63" s="1863"/>
      <c r="Y63" s="1864"/>
      <c r="Z63" s="1867">
        <f t="shared" si="4"/>
        <v>0</v>
      </c>
      <c r="AA63" s="1868">
        <f t="shared" si="5"/>
        <v>0</v>
      </c>
      <c r="AB63" s="1869" t="str">
        <f t="shared" si="6"/>
        <v/>
      </c>
      <c r="AC63" s="690"/>
      <c r="AD63" s="1580" t="str">
        <f t="shared" si="7"/>
        <v/>
      </c>
      <c r="AE63" s="1581">
        <f t="shared" si="8"/>
        <v>0</v>
      </c>
      <c r="AF63" s="1581">
        <f t="shared" si="9"/>
        <v>0</v>
      </c>
      <c r="AG63" s="1581">
        <f t="shared" si="10"/>
        <v>0</v>
      </c>
      <c r="AH63" s="1581">
        <f t="shared" si="11"/>
        <v>0</v>
      </c>
      <c r="AI63" s="1582">
        <f t="shared" si="12"/>
        <v>0</v>
      </c>
      <c r="AJ63" s="1583">
        <f t="shared" si="13"/>
        <v>1</v>
      </c>
      <c r="AK63" s="1581">
        <f t="shared" si="14"/>
        <v>0</v>
      </c>
      <c r="AL63" s="1584" t="e">
        <f t="shared" si="15"/>
        <v>#DIV/0!</v>
      </c>
      <c r="AM63" s="1188"/>
      <c r="AN63" s="1585">
        <f t="shared" si="16"/>
        <v>0</v>
      </c>
      <c r="AO63" s="1583">
        <f t="shared" si="17"/>
        <v>0</v>
      </c>
      <c r="AP63" s="1583">
        <f t="shared" si="18"/>
        <v>0</v>
      </c>
      <c r="AQ63" s="1583">
        <f t="shared" si="19"/>
        <v>0</v>
      </c>
      <c r="AR63" s="1586">
        <f t="shared" si="20"/>
        <v>0</v>
      </c>
      <c r="AT63" s="1587">
        <f t="shared" si="21"/>
        <v>0</v>
      </c>
      <c r="AU63" s="1583">
        <f t="shared" si="22"/>
        <v>0</v>
      </c>
      <c r="AV63" s="1583">
        <f t="shared" si="23"/>
        <v>0</v>
      </c>
      <c r="AW63" s="1583">
        <f t="shared" si="24"/>
        <v>0</v>
      </c>
      <c r="AX63" s="1583">
        <f t="shared" si="25"/>
        <v>0</v>
      </c>
      <c r="AY63" s="1588">
        <f t="shared" si="26"/>
        <v>0</v>
      </c>
      <c r="AZ63" s="1189"/>
      <c r="BA63" s="1587">
        <f t="shared" si="27"/>
        <v>0</v>
      </c>
      <c r="BB63" s="1583">
        <f t="shared" si="28"/>
        <v>0</v>
      </c>
      <c r="BC63" s="1583">
        <f t="shared" si="29"/>
        <v>0</v>
      </c>
      <c r="BD63" s="1583">
        <f t="shared" si="30"/>
        <v>0</v>
      </c>
      <c r="BE63" s="1588">
        <f t="shared" si="31"/>
        <v>0</v>
      </c>
      <c r="BG63" s="1581">
        <f t="shared" si="32"/>
        <v>43101</v>
      </c>
      <c r="BH63" s="1581">
        <f t="shared" si="33"/>
        <v>43101</v>
      </c>
      <c r="BI63" s="1581">
        <f t="shared" si="34"/>
        <v>43101</v>
      </c>
      <c r="BJ63" s="1581">
        <f t="shared" si="35"/>
        <v>0</v>
      </c>
      <c r="BL63" s="1585">
        <f t="shared" si="36"/>
        <v>0</v>
      </c>
      <c r="BM63" s="1581">
        <f t="shared" si="37"/>
        <v>0</v>
      </c>
      <c r="BN63" s="1581">
        <f t="shared" si="38"/>
        <v>0</v>
      </c>
      <c r="BO63" s="1589">
        <f t="shared" si="39"/>
        <v>0</v>
      </c>
      <c r="BP63" s="1514"/>
    </row>
    <row r="64" spans="1:68" ht="30" customHeight="1">
      <c r="A64" s="1577"/>
      <c r="B64" s="1577"/>
      <c r="C64" s="1603"/>
      <c r="D64" s="1578"/>
      <c r="E64" s="1863"/>
      <c r="F64" s="1864"/>
      <c r="G64" s="1865">
        <f t="shared" si="0"/>
        <v>0</v>
      </c>
      <c r="H64" s="1864"/>
      <c r="I64" s="1866"/>
      <c r="J64" s="1864"/>
      <c r="K64" s="1867">
        <f t="shared" si="1"/>
        <v>0</v>
      </c>
      <c r="L64" s="1864"/>
      <c r="M64" s="1866"/>
      <c r="N64" s="1863"/>
      <c r="O64" s="1864"/>
      <c r="P64" s="1867">
        <f t="shared" si="2"/>
        <v>0</v>
      </c>
      <c r="Q64" s="1864"/>
      <c r="R64" s="1866"/>
      <c r="S64" s="1863"/>
      <c r="T64" s="1864"/>
      <c r="U64" s="1867">
        <f t="shared" si="3"/>
        <v>0</v>
      </c>
      <c r="V64" s="1864"/>
      <c r="W64" s="1866"/>
      <c r="X64" s="1863"/>
      <c r="Y64" s="1864"/>
      <c r="Z64" s="1867">
        <f t="shared" si="4"/>
        <v>0</v>
      </c>
      <c r="AA64" s="1868">
        <f t="shared" si="5"/>
        <v>0</v>
      </c>
      <c r="AB64" s="1869" t="str">
        <f t="shared" si="6"/>
        <v/>
      </c>
      <c r="AC64" s="690"/>
      <c r="AD64" s="1580" t="str">
        <f t="shared" si="7"/>
        <v/>
      </c>
      <c r="AE64" s="1581">
        <f t="shared" si="8"/>
        <v>0</v>
      </c>
      <c r="AF64" s="1581">
        <f t="shared" si="9"/>
        <v>0</v>
      </c>
      <c r="AG64" s="1581">
        <f t="shared" si="10"/>
        <v>0</v>
      </c>
      <c r="AH64" s="1581">
        <f t="shared" si="11"/>
        <v>0</v>
      </c>
      <c r="AI64" s="1582">
        <f t="shared" si="12"/>
        <v>0</v>
      </c>
      <c r="AJ64" s="1583">
        <f t="shared" si="13"/>
        <v>1</v>
      </c>
      <c r="AK64" s="1581">
        <f t="shared" si="14"/>
        <v>0</v>
      </c>
      <c r="AL64" s="1584" t="e">
        <f t="shared" si="15"/>
        <v>#DIV/0!</v>
      </c>
      <c r="AM64" s="1188"/>
      <c r="AN64" s="1585">
        <f t="shared" si="16"/>
        <v>0</v>
      </c>
      <c r="AO64" s="1583">
        <f t="shared" si="17"/>
        <v>0</v>
      </c>
      <c r="AP64" s="1583">
        <f t="shared" si="18"/>
        <v>0</v>
      </c>
      <c r="AQ64" s="1583">
        <f t="shared" si="19"/>
        <v>0</v>
      </c>
      <c r="AR64" s="1586">
        <f t="shared" si="20"/>
        <v>0</v>
      </c>
      <c r="AT64" s="1587">
        <f t="shared" si="21"/>
        <v>0</v>
      </c>
      <c r="AU64" s="1583">
        <f t="shared" si="22"/>
        <v>0</v>
      </c>
      <c r="AV64" s="1583">
        <f t="shared" si="23"/>
        <v>0</v>
      </c>
      <c r="AW64" s="1583">
        <f t="shared" si="24"/>
        <v>0</v>
      </c>
      <c r="AX64" s="1583">
        <f t="shared" si="25"/>
        <v>0</v>
      </c>
      <c r="AY64" s="1588">
        <f t="shared" si="26"/>
        <v>0</v>
      </c>
      <c r="AZ64" s="1189"/>
      <c r="BA64" s="1587">
        <f t="shared" si="27"/>
        <v>0</v>
      </c>
      <c r="BB64" s="1583">
        <f t="shared" si="28"/>
        <v>0</v>
      </c>
      <c r="BC64" s="1583">
        <f t="shared" si="29"/>
        <v>0</v>
      </c>
      <c r="BD64" s="1583">
        <f t="shared" si="30"/>
        <v>0</v>
      </c>
      <c r="BE64" s="1588">
        <f t="shared" si="31"/>
        <v>0</v>
      </c>
      <c r="BG64" s="1581">
        <f t="shared" si="32"/>
        <v>43101</v>
      </c>
      <c r="BH64" s="1581">
        <f t="shared" si="33"/>
        <v>43101</v>
      </c>
      <c r="BI64" s="1581">
        <f t="shared" si="34"/>
        <v>43101</v>
      </c>
      <c r="BJ64" s="1581">
        <f t="shared" si="35"/>
        <v>0</v>
      </c>
      <c r="BL64" s="1585">
        <f t="shared" si="36"/>
        <v>0</v>
      </c>
      <c r="BM64" s="1581">
        <f t="shared" si="37"/>
        <v>0</v>
      </c>
      <c r="BN64" s="1581">
        <f t="shared" si="38"/>
        <v>0</v>
      </c>
      <c r="BO64" s="1589">
        <f t="shared" si="39"/>
        <v>0</v>
      </c>
      <c r="BP64" s="1514"/>
    </row>
    <row r="65" spans="1:68" ht="30" customHeight="1">
      <c r="A65" s="1577"/>
      <c r="B65" s="1577"/>
      <c r="C65" s="1603"/>
      <c r="D65" s="1578"/>
      <c r="E65" s="1863"/>
      <c r="F65" s="1864"/>
      <c r="G65" s="1865">
        <f t="shared" si="0"/>
        <v>0</v>
      </c>
      <c r="H65" s="1864"/>
      <c r="I65" s="1866"/>
      <c r="J65" s="1864"/>
      <c r="K65" s="1867">
        <f t="shared" si="1"/>
        <v>0</v>
      </c>
      <c r="L65" s="1864"/>
      <c r="M65" s="1866"/>
      <c r="N65" s="1863"/>
      <c r="O65" s="1864"/>
      <c r="P65" s="1867">
        <f t="shared" si="2"/>
        <v>0</v>
      </c>
      <c r="Q65" s="1864"/>
      <c r="R65" s="1866"/>
      <c r="S65" s="1863"/>
      <c r="T65" s="1864"/>
      <c r="U65" s="1867">
        <f t="shared" si="3"/>
        <v>0</v>
      </c>
      <c r="V65" s="1864"/>
      <c r="W65" s="1866"/>
      <c r="X65" s="1863"/>
      <c r="Y65" s="1864"/>
      <c r="Z65" s="1867">
        <f t="shared" si="4"/>
        <v>0</v>
      </c>
      <c r="AA65" s="1868">
        <f t="shared" si="5"/>
        <v>0</v>
      </c>
      <c r="AB65" s="1869" t="str">
        <f t="shared" si="6"/>
        <v/>
      </c>
      <c r="AC65" s="690"/>
      <c r="AD65" s="1580" t="str">
        <f t="shared" si="7"/>
        <v/>
      </c>
      <c r="AE65" s="1581">
        <f t="shared" si="8"/>
        <v>0</v>
      </c>
      <c r="AF65" s="1581">
        <f t="shared" si="9"/>
        <v>0</v>
      </c>
      <c r="AG65" s="1581">
        <f t="shared" si="10"/>
        <v>0</v>
      </c>
      <c r="AH65" s="1581">
        <f t="shared" si="11"/>
        <v>0</v>
      </c>
      <c r="AI65" s="1582">
        <f t="shared" si="12"/>
        <v>0</v>
      </c>
      <c r="AJ65" s="1583">
        <f t="shared" si="13"/>
        <v>1</v>
      </c>
      <c r="AK65" s="1581">
        <f t="shared" si="14"/>
        <v>0</v>
      </c>
      <c r="AL65" s="1584" t="e">
        <f t="shared" si="15"/>
        <v>#DIV/0!</v>
      </c>
      <c r="AM65" s="1188"/>
      <c r="AN65" s="1585">
        <f t="shared" si="16"/>
        <v>0</v>
      </c>
      <c r="AO65" s="1583">
        <f t="shared" si="17"/>
        <v>0</v>
      </c>
      <c r="AP65" s="1583">
        <f t="shared" si="18"/>
        <v>0</v>
      </c>
      <c r="AQ65" s="1583">
        <f t="shared" si="19"/>
        <v>0</v>
      </c>
      <c r="AR65" s="1586">
        <f t="shared" si="20"/>
        <v>0</v>
      </c>
      <c r="AT65" s="1587">
        <f t="shared" si="21"/>
        <v>0</v>
      </c>
      <c r="AU65" s="1583">
        <f t="shared" si="22"/>
        <v>0</v>
      </c>
      <c r="AV65" s="1583">
        <f t="shared" si="23"/>
        <v>0</v>
      </c>
      <c r="AW65" s="1583">
        <f t="shared" si="24"/>
        <v>0</v>
      </c>
      <c r="AX65" s="1583">
        <f t="shared" si="25"/>
        <v>0</v>
      </c>
      <c r="AY65" s="1588">
        <f t="shared" si="26"/>
        <v>0</v>
      </c>
      <c r="AZ65" s="1189"/>
      <c r="BA65" s="1587">
        <f t="shared" si="27"/>
        <v>0</v>
      </c>
      <c r="BB65" s="1583">
        <f t="shared" si="28"/>
        <v>0</v>
      </c>
      <c r="BC65" s="1583">
        <f t="shared" si="29"/>
        <v>0</v>
      </c>
      <c r="BD65" s="1583">
        <f t="shared" si="30"/>
        <v>0</v>
      </c>
      <c r="BE65" s="1588">
        <f t="shared" si="31"/>
        <v>0</v>
      </c>
      <c r="BG65" s="1581">
        <f t="shared" si="32"/>
        <v>43101</v>
      </c>
      <c r="BH65" s="1581">
        <f t="shared" si="33"/>
        <v>43101</v>
      </c>
      <c r="BI65" s="1581">
        <f t="shared" si="34"/>
        <v>43101</v>
      </c>
      <c r="BJ65" s="1581">
        <f t="shared" si="35"/>
        <v>0</v>
      </c>
      <c r="BL65" s="1585">
        <f t="shared" si="36"/>
        <v>0</v>
      </c>
      <c r="BM65" s="1581">
        <f t="shared" si="37"/>
        <v>0</v>
      </c>
      <c r="BN65" s="1581">
        <f t="shared" si="38"/>
        <v>0</v>
      </c>
      <c r="BO65" s="1589">
        <f t="shared" si="39"/>
        <v>0</v>
      </c>
      <c r="BP65" s="1514"/>
    </row>
    <row r="66" spans="1:68" ht="30" customHeight="1">
      <c r="A66" s="1577"/>
      <c r="B66" s="1577"/>
      <c r="C66" s="1603"/>
      <c r="D66" s="1578"/>
      <c r="E66" s="1863"/>
      <c r="F66" s="1864"/>
      <c r="G66" s="1865">
        <f t="shared" si="0"/>
        <v>0</v>
      </c>
      <c r="H66" s="1864"/>
      <c r="I66" s="1866"/>
      <c r="J66" s="1864"/>
      <c r="K66" s="1867">
        <f t="shared" si="1"/>
        <v>0</v>
      </c>
      <c r="L66" s="1864"/>
      <c r="M66" s="1866"/>
      <c r="N66" s="1863"/>
      <c r="O66" s="1864"/>
      <c r="P66" s="1867">
        <f t="shared" si="2"/>
        <v>0</v>
      </c>
      <c r="Q66" s="1864"/>
      <c r="R66" s="1866"/>
      <c r="S66" s="1863"/>
      <c r="T66" s="1864"/>
      <c r="U66" s="1867">
        <f t="shared" si="3"/>
        <v>0</v>
      </c>
      <c r="V66" s="1864"/>
      <c r="W66" s="1866"/>
      <c r="X66" s="1863"/>
      <c r="Y66" s="1864"/>
      <c r="Z66" s="1867">
        <f t="shared" si="4"/>
        <v>0</v>
      </c>
      <c r="AA66" s="1868">
        <f t="shared" si="5"/>
        <v>0</v>
      </c>
      <c r="AB66" s="1869" t="str">
        <f t="shared" si="6"/>
        <v/>
      </c>
      <c r="AC66" s="690"/>
      <c r="AD66" s="1580" t="str">
        <f t="shared" si="7"/>
        <v/>
      </c>
      <c r="AE66" s="1581">
        <f t="shared" si="8"/>
        <v>0</v>
      </c>
      <c r="AF66" s="1581">
        <f t="shared" si="9"/>
        <v>0</v>
      </c>
      <c r="AG66" s="1581">
        <f t="shared" si="10"/>
        <v>0</v>
      </c>
      <c r="AH66" s="1581">
        <f t="shared" si="11"/>
        <v>0</v>
      </c>
      <c r="AI66" s="1582">
        <f t="shared" si="12"/>
        <v>0</v>
      </c>
      <c r="AJ66" s="1583">
        <f t="shared" si="13"/>
        <v>1</v>
      </c>
      <c r="AK66" s="1581">
        <f t="shared" si="14"/>
        <v>0</v>
      </c>
      <c r="AL66" s="1584" t="e">
        <f t="shared" si="15"/>
        <v>#DIV/0!</v>
      </c>
      <c r="AM66" s="1188"/>
      <c r="AN66" s="1585">
        <f t="shared" si="16"/>
        <v>0</v>
      </c>
      <c r="AO66" s="1583">
        <f t="shared" si="17"/>
        <v>0</v>
      </c>
      <c r="AP66" s="1583">
        <f t="shared" si="18"/>
        <v>0</v>
      </c>
      <c r="AQ66" s="1583">
        <f t="shared" si="19"/>
        <v>0</v>
      </c>
      <c r="AR66" s="1586">
        <f t="shared" si="20"/>
        <v>0</v>
      </c>
      <c r="AT66" s="1587">
        <f t="shared" si="21"/>
        <v>0</v>
      </c>
      <c r="AU66" s="1583">
        <f t="shared" si="22"/>
        <v>0</v>
      </c>
      <c r="AV66" s="1583">
        <f t="shared" si="23"/>
        <v>0</v>
      </c>
      <c r="AW66" s="1583">
        <f t="shared" si="24"/>
        <v>0</v>
      </c>
      <c r="AX66" s="1583">
        <f t="shared" si="25"/>
        <v>0</v>
      </c>
      <c r="AY66" s="1588">
        <f t="shared" si="26"/>
        <v>0</v>
      </c>
      <c r="AZ66" s="1189"/>
      <c r="BA66" s="1587">
        <f t="shared" si="27"/>
        <v>0</v>
      </c>
      <c r="BB66" s="1583">
        <f t="shared" si="28"/>
        <v>0</v>
      </c>
      <c r="BC66" s="1583">
        <f t="shared" si="29"/>
        <v>0</v>
      </c>
      <c r="BD66" s="1583">
        <f t="shared" si="30"/>
        <v>0</v>
      </c>
      <c r="BE66" s="1588">
        <f t="shared" si="31"/>
        <v>0</v>
      </c>
      <c r="BG66" s="1581">
        <f t="shared" si="32"/>
        <v>43101</v>
      </c>
      <c r="BH66" s="1581">
        <f t="shared" si="33"/>
        <v>43101</v>
      </c>
      <c r="BI66" s="1581">
        <f t="shared" si="34"/>
        <v>43101</v>
      </c>
      <c r="BJ66" s="1581">
        <f t="shared" si="35"/>
        <v>0</v>
      </c>
      <c r="BL66" s="1585">
        <f t="shared" si="36"/>
        <v>0</v>
      </c>
      <c r="BM66" s="1581">
        <f t="shared" si="37"/>
        <v>0</v>
      </c>
      <c r="BN66" s="1581">
        <f t="shared" si="38"/>
        <v>0</v>
      </c>
      <c r="BO66" s="1589">
        <f t="shared" si="39"/>
        <v>0</v>
      </c>
      <c r="BP66" s="1514"/>
    </row>
    <row r="67" spans="1:68" ht="30" customHeight="1">
      <c r="A67" s="1577"/>
      <c r="B67" s="1577"/>
      <c r="C67" s="1603"/>
      <c r="D67" s="1578"/>
      <c r="E67" s="1863"/>
      <c r="F67" s="1864"/>
      <c r="G67" s="1865">
        <f t="shared" si="0"/>
        <v>0</v>
      </c>
      <c r="H67" s="1864"/>
      <c r="I67" s="1866"/>
      <c r="J67" s="1864"/>
      <c r="K67" s="1867">
        <f t="shared" si="1"/>
        <v>0</v>
      </c>
      <c r="L67" s="1864"/>
      <c r="M67" s="1866"/>
      <c r="N67" s="1863"/>
      <c r="O67" s="1864"/>
      <c r="P67" s="1867">
        <f t="shared" si="2"/>
        <v>0</v>
      </c>
      <c r="Q67" s="1864"/>
      <c r="R67" s="1866"/>
      <c r="S67" s="1863"/>
      <c r="T67" s="1864"/>
      <c r="U67" s="1867">
        <f t="shared" si="3"/>
        <v>0</v>
      </c>
      <c r="V67" s="1864"/>
      <c r="W67" s="1866"/>
      <c r="X67" s="1863"/>
      <c r="Y67" s="1864"/>
      <c r="Z67" s="1867">
        <f t="shared" si="4"/>
        <v>0</v>
      </c>
      <c r="AA67" s="1868">
        <f t="shared" si="5"/>
        <v>0</v>
      </c>
      <c r="AB67" s="1869" t="str">
        <f t="shared" si="6"/>
        <v/>
      </c>
      <c r="AC67" s="690"/>
      <c r="AD67" s="1580" t="str">
        <f t="shared" si="7"/>
        <v/>
      </c>
      <c r="AE67" s="1581">
        <f t="shared" si="8"/>
        <v>0</v>
      </c>
      <c r="AF67" s="1581">
        <f t="shared" si="9"/>
        <v>0</v>
      </c>
      <c r="AG67" s="1581">
        <f t="shared" si="10"/>
        <v>0</v>
      </c>
      <c r="AH67" s="1581">
        <f t="shared" si="11"/>
        <v>0</v>
      </c>
      <c r="AI67" s="1582">
        <f t="shared" si="12"/>
        <v>0</v>
      </c>
      <c r="AJ67" s="1583">
        <f t="shared" si="13"/>
        <v>1</v>
      </c>
      <c r="AK67" s="1581">
        <f t="shared" si="14"/>
        <v>0</v>
      </c>
      <c r="AL67" s="1584" t="e">
        <f t="shared" si="15"/>
        <v>#DIV/0!</v>
      </c>
      <c r="AM67" s="1188"/>
      <c r="AN67" s="1585">
        <f t="shared" si="16"/>
        <v>0</v>
      </c>
      <c r="AO67" s="1583">
        <f t="shared" si="17"/>
        <v>0</v>
      </c>
      <c r="AP67" s="1583">
        <f t="shared" si="18"/>
        <v>0</v>
      </c>
      <c r="AQ67" s="1583">
        <f t="shared" si="19"/>
        <v>0</v>
      </c>
      <c r="AR67" s="1586">
        <f t="shared" si="20"/>
        <v>0</v>
      </c>
      <c r="AT67" s="1587">
        <f t="shared" si="21"/>
        <v>0</v>
      </c>
      <c r="AU67" s="1583">
        <f t="shared" si="22"/>
        <v>0</v>
      </c>
      <c r="AV67" s="1583">
        <f t="shared" si="23"/>
        <v>0</v>
      </c>
      <c r="AW67" s="1583">
        <f t="shared" si="24"/>
        <v>0</v>
      </c>
      <c r="AX67" s="1583">
        <f t="shared" si="25"/>
        <v>0</v>
      </c>
      <c r="AY67" s="1588">
        <f t="shared" si="26"/>
        <v>0</v>
      </c>
      <c r="AZ67" s="1189"/>
      <c r="BA67" s="1587">
        <f t="shared" si="27"/>
        <v>0</v>
      </c>
      <c r="BB67" s="1583">
        <f t="shared" si="28"/>
        <v>0</v>
      </c>
      <c r="BC67" s="1583">
        <f t="shared" si="29"/>
        <v>0</v>
      </c>
      <c r="BD67" s="1583">
        <f t="shared" si="30"/>
        <v>0</v>
      </c>
      <c r="BE67" s="1588">
        <f t="shared" si="31"/>
        <v>0</v>
      </c>
      <c r="BG67" s="1581">
        <f t="shared" si="32"/>
        <v>43101</v>
      </c>
      <c r="BH67" s="1581">
        <f t="shared" si="33"/>
        <v>43101</v>
      </c>
      <c r="BI67" s="1581">
        <f t="shared" si="34"/>
        <v>43101</v>
      </c>
      <c r="BJ67" s="1581">
        <f t="shared" si="35"/>
        <v>0</v>
      </c>
      <c r="BL67" s="1585">
        <f t="shared" si="36"/>
        <v>0</v>
      </c>
      <c r="BM67" s="1581">
        <f t="shared" si="37"/>
        <v>0</v>
      </c>
      <c r="BN67" s="1581">
        <f t="shared" si="38"/>
        <v>0</v>
      </c>
      <c r="BO67" s="1589">
        <f t="shared" si="39"/>
        <v>0</v>
      </c>
      <c r="BP67" s="1514"/>
    </row>
    <row r="68" spans="1:68" ht="30" customHeight="1">
      <c r="A68" s="1577"/>
      <c r="B68" s="1577"/>
      <c r="C68" s="1603"/>
      <c r="D68" s="1578"/>
      <c r="E68" s="1863"/>
      <c r="F68" s="1864"/>
      <c r="G68" s="1865">
        <f t="shared" si="0"/>
        <v>0</v>
      </c>
      <c r="H68" s="1864"/>
      <c r="I68" s="1866"/>
      <c r="J68" s="1864"/>
      <c r="K68" s="1867">
        <f t="shared" si="1"/>
        <v>0</v>
      </c>
      <c r="L68" s="1864"/>
      <c r="M68" s="1866"/>
      <c r="N68" s="1863"/>
      <c r="O68" s="1864"/>
      <c r="P68" s="1867">
        <f t="shared" si="2"/>
        <v>0</v>
      </c>
      <c r="Q68" s="1864"/>
      <c r="R68" s="1866"/>
      <c r="S68" s="1863"/>
      <c r="T68" s="1864"/>
      <c r="U68" s="1867">
        <f t="shared" si="3"/>
        <v>0</v>
      </c>
      <c r="V68" s="1864"/>
      <c r="W68" s="1866"/>
      <c r="X68" s="1863"/>
      <c r="Y68" s="1864"/>
      <c r="Z68" s="1867">
        <f t="shared" si="4"/>
        <v>0</v>
      </c>
      <c r="AA68" s="1868">
        <f t="shared" si="5"/>
        <v>0</v>
      </c>
      <c r="AB68" s="1869" t="str">
        <f t="shared" si="6"/>
        <v/>
      </c>
      <c r="AC68" s="690"/>
      <c r="AD68" s="1580" t="str">
        <f t="shared" si="7"/>
        <v/>
      </c>
      <c r="AE68" s="1581">
        <f t="shared" si="8"/>
        <v>0</v>
      </c>
      <c r="AF68" s="1581">
        <f t="shared" si="9"/>
        <v>0</v>
      </c>
      <c r="AG68" s="1581">
        <f t="shared" si="10"/>
        <v>0</v>
      </c>
      <c r="AH68" s="1581">
        <f t="shared" si="11"/>
        <v>0</v>
      </c>
      <c r="AI68" s="1582">
        <f t="shared" si="12"/>
        <v>0</v>
      </c>
      <c r="AJ68" s="1583">
        <f t="shared" si="13"/>
        <v>1</v>
      </c>
      <c r="AK68" s="1581">
        <f t="shared" si="14"/>
        <v>0</v>
      </c>
      <c r="AL68" s="1584" t="e">
        <f t="shared" si="15"/>
        <v>#DIV/0!</v>
      </c>
      <c r="AM68" s="1188"/>
      <c r="AN68" s="1585">
        <f t="shared" si="16"/>
        <v>0</v>
      </c>
      <c r="AO68" s="1583">
        <f t="shared" si="17"/>
        <v>0</v>
      </c>
      <c r="AP68" s="1583">
        <f t="shared" si="18"/>
        <v>0</v>
      </c>
      <c r="AQ68" s="1583">
        <f t="shared" si="19"/>
        <v>0</v>
      </c>
      <c r="AR68" s="1586">
        <f t="shared" si="20"/>
        <v>0</v>
      </c>
      <c r="AT68" s="1587">
        <f t="shared" si="21"/>
        <v>0</v>
      </c>
      <c r="AU68" s="1583">
        <f t="shared" si="22"/>
        <v>0</v>
      </c>
      <c r="AV68" s="1583">
        <f t="shared" si="23"/>
        <v>0</v>
      </c>
      <c r="AW68" s="1583">
        <f t="shared" si="24"/>
        <v>0</v>
      </c>
      <c r="AX68" s="1583">
        <f t="shared" si="25"/>
        <v>0</v>
      </c>
      <c r="AY68" s="1588">
        <f t="shared" si="26"/>
        <v>0</v>
      </c>
      <c r="AZ68" s="1189"/>
      <c r="BA68" s="1587">
        <f t="shared" si="27"/>
        <v>0</v>
      </c>
      <c r="BB68" s="1583">
        <f t="shared" si="28"/>
        <v>0</v>
      </c>
      <c r="BC68" s="1583">
        <f t="shared" si="29"/>
        <v>0</v>
      </c>
      <c r="BD68" s="1583">
        <f t="shared" si="30"/>
        <v>0</v>
      </c>
      <c r="BE68" s="1588">
        <f t="shared" si="31"/>
        <v>0</v>
      </c>
      <c r="BG68" s="1581">
        <f t="shared" si="32"/>
        <v>43101</v>
      </c>
      <c r="BH68" s="1581">
        <f t="shared" si="33"/>
        <v>43101</v>
      </c>
      <c r="BI68" s="1581">
        <f t="shared" si="34"/>
        <v>43101</v>
      </c>
      <c r="BJ68" s="1581">
        <f t="shared" si="35"/>
        <v>0</v>
      </c>
      <c r="BL68" s="1585">
        <f t="shared" si="36"/>
        <v>0</v>
      </c>
      <c r="BM68" s="1581">
        <f t="shared" si="37"/>
        <v>0</v>
      </c>
      <c r="BN68" s="1581">
        <f t="shared" si="38"/>
        <v>0</v>
      </c>
      <c r="BO68" s="1589">
        <f t="shared" si="39"/>
        <v>0</v>
      </c>
      <c r="BP68" s="1514"/>
    </row>
    <row r="69" spans="1:68" ht="30" customHeight="1">
      <c r="A69" s="1577"/>
      <c r="B69" s="1577"/>
      <c r="C69" s="1603"/>
      <c r="D69" s="1578"/>
      <c r="E69" s="1863"/>
      <c r="F69" s="1864"/>
      <c r="G69" s="1865">
        <f t="shared" si="0"/>
        <v>0</v>
      </c>
      <c r="H69" s="1864"/>
      <c r="I69" s="1866"/>
      <c r="J69" s="1864"/>
      <c r="K69" s="1867">
        <f t="shared" si="1"/>
        <v>0</v>
      </c>
      <c r="L69" s="1864"/>
      <c r="M69" s="1866"/>
      <c r="N69" s="1863"/>
      <c r="O69" s="1864"/>
      <c r="P69" s="1867">
        <f t="shared" si="2"/>
        <v>0</v>
      </c>
      <c r="Q69" s="1864"/>
      <c r="R69" s="1866"/>
      <c r="S69" s="1863"/>
      <c r="T69" s="1864"/>
      <c r="U69" s="1867">
        <f t="shared" si="3"/>
        <v>0</v>
      </c>
      <c r="V69" s="1864"/>
      <c r="W69" s="1866"/>
      <c r="X69" s="1863"/>
      <c r="Y69" s="1864"/>
      <c r="Z69" s="1867">
        <f t="shared" si="4"/>
        <v>0</v>
      </c>
      <c r="AA69" s="1868">
        <f t="shared" si="5"/>
        <v>0</v>
      </c>
      <c r="AB69" s="1869" t="str">
        <f t="shared" si="6"/>
        <v/>
      </c>
      <c r="AC69" s="690"/>
      <c r="AD69" s="1580" t="str">
        <f t="shared" si="7"/>
        <v/>
      </c>
      <c r="AE69" s="1581">
        <f t="shared" si="8"/>
        <v>0</v>
      </c>
      <c r="AF69" s="1581">
        <f t="shared" si="9"/>
        <v>0</v>
      </c>
      <c r="AG69" s="1581">
        <f t="shared" si="10"/>
        <v>0</v>
      </c>
      <c r="AH69" s="1581">
        <f t="shared" si="11"/>
        <v>0</v>
      </c>
      <c r="AI69" s="1582">
        <f t="shared" si="12"/>
        <v>0</v>
      </c>
      <c r="AJ69" s="1583">
        <f t="shared" si="13"/>
        <v>1</v>
      </c>
      <c r="AK69" s="1581">
        <f t="shared" si="14"/>
        <v>0</v>
      </c>
      <c r="AL69" s="1584" t="e">
        <f t="shared" si="15"/>
        <v>#DIV/0!</v>
      </c>
      <c r="AM69" s="1188"/>
      <c r="AN69" s="1585">
        <f t="shared" si="16"/>
        <v>0</v>
      </c>
      <c r="AO69" s="1583">
        <f t="shared" si="17"/>
        <v>0</v>
      </c>
      <c r="AP69" s="1583">
        <f t="shared" si="18"/>
        <v>0</v>
      </c>
      <c r="AQ69" s="1583">
        <f t="shared" si="19"/>
        <v>0</v>
      </c>
      <c r="AR69" s="1586">
        <f t="shared" si="20"/>
        <v>0</v>
      </c>
      <c r="AT69" s="1587">
        <f t="shared" si="21"/>
        <v>0</v>
      </c>
      <c r="AU69" s="1583">
        <f t="shared" si="22"/>
        <v>0</v>
      </c>
      <c r="AV69" s="1583">
        <f t="shared" si="23"/>
        <v>0</v>
      </c>
      <c r="AW69" s="1583">
        <f t="shared" si="24"/>
        <v>0</v>
      </c>
      <c r="AX69" s="1583">
        <f t="shared" si="25"/>
        <v>0</v>
      </c>
      <c r="AY69" s="1588">
        <f t="shared" si="26"/>
        <v>0</v>
      </c>
      <c r="AZ69" s="1189"/>
      <c r="BA69" s="1587">
        <f t="shared" si="27"/>
        <v>0</v>
      </c>
      <c r="BB69" s="1583">
        <f t="shared" si="28"/>
        <v>0</v>
      </c>
      <c r="BC69" s="1583">
        <f t="shared" si="29"/>
        <v>0</v>
      </c>
      <c r="BD69" s="1583">
        <f t="shared" si="30"/>
        <v>0</v>
      </c>
      <c r="BE69" s="1588">
        <f t="shared" si="31"/>
        <v>0</v>
      </c>
      <c r="BG69" s="1581">
        <f t="shared" si="32"/>
        <v>43101</v>
      </c>
      <c r="BH69" s="1581">
        <f t="shared" si="33"/>
        <v>43101</v>
      </c>
      <c r="BI69" s="1581">
        <f t="shared" si="34"/>
        <v>43101</v>
      </c>
      <c r="BJ69" s="1581">
        <f t="shared" si="35"/>
        <v>0</v>
      </c>
      <c r="BL69" s="1585">
        <f t="shared" si="36"/>
        <v>0</v>
      </c>
      <c r="BM69" s="1581">
        <f t="shared" si="37"/>
        <v>0</v>
      </c>
      <c r="BN69" s="1581">
        <f t="shared" si="38"/>
        <v>0</v>
      </c>
      <c r="BO69" s="1589">
        <f t="shared" si="39"/>
        <v>0</v>
      </c>
      <c r="BP69" s="1514"/>
    </row>
    <row r="70" spans="1:68" ht="30" customHeight="1">
      <c r="A70" s="1577"/>
      <c r="B70" s="1577"/>
      <c r="C70" s="1603"/>
      <c r="D70" s="1578"/>
      <c r="E70" s="1863"/>
      <c r="F70" s="1864"/>
      <c r="G70" s="1865">
        <f t="shared" si="0"/>
        <v>0</v>
      </c>
      <c r="H70" s="1864"/>
      <c r="I70" s="1866"/>
      <c r="J70" s="1864"/>
      <c r="K70" s="1867">
        <f t="shared" si="1"/>
        <v>0</v>
      </c>
      <c r="L70" s="1864"/>
      <c r="M70" s="1866"/>
      <c r="N70" s="1863"/>
      <c r="O70" s="1864"/>
      <c r="P70" s="1867">
        <f t="shared" si="2"/>
        <v>0</v>
      </c>
      <c r="Q70" s="1864"/>
      <c r="R70" s="1866"/>
      <c r="S70" s="1863"/>
      <c r="T70" s="1864"/>
      <c r="U70" s="1867">
        <f t="shared" si="3"/>
        <v>0</v>
      </c>
      <c r="V70" s="1864"/>
      <c r="W70" s="1866"/>
      <c r="X70" s="1863"/>
      <c r="Y70" s="1864"/>
      <c r="Z70" s="1867">
        <f t="shared" si="4"/>
        <v>0</v>
      </c>
      <c r="AA70" s="1868">
        <f t="shared" si="5"/>
        <v>0</v>
      </c>
      <c r="AB70" s="1869" t="str">
        <f t="shared" si="6"/>
        <v/>
      </c>
      <c r="AC70" s="690"/>
      <c r="AD70" s="1580" t="str">
        <f t="shared" si="7"/>
        <v/>
      </c>
      <c r="AE70" s="1581">
        <f t="shared" si="8"/>
        <v>0</v>
      </c>
      <c r="AF70" s="1581">
        <f t="shared" si="9"/>
        <v>0</v>
      </c>
      <c r="AG70" s="1581">
        <f t="shared" si="10"/>
        <v>0</v>
      </c>
      <c r="AH70" s="1581">
        <f t="shared" si="11"/>
        <v>0</v>
      </c>
      <c r="AI70" s="1582">
        <f t="shared" si="12"/>
        <v>0</v>
      </c>
      <c r="AJ70" s="1583">
        <f t="shared" si="13"/>
        <v>1</v>
      </c>
      <c r="AK70" s="1581">
        <f t="shared" si="14"/>
        <v>0</v>
      </c>
      <c r="AL70" s="1584" t="e">
        <f t="shared" si="15"/>
        <v>#DIV/0!</v>
      </c>
      <c r="AM70" s="1188"/>
      <c r="AN70" s="1585">
        <f t="shared" si="16"/>
        <v>0</v>
      </c>
      <c r="AO70" s="1583">
        <f t="shared" si="17"/>
        <v>0</v>
      </c>
      <c r="AP70" s="1583">
        <f t="shared" si="18"/>
        <v>0</v>
      </c>
      <c r="AQ70" s="1583">
        <f t="shared" si="19"/>
        <v>0</v>
      </c>
      <c r="AR70" s="1586">
        <f t="shared" si="20"/>
        <v>0</v>
      </c>
      <c r="AT70" s="1587">
        <f t="shared" si="21"/>
        <v>0</v>
      </c>
      <c r="AU70" s="1583">
        <f t="shared" si="22"/>
        <v>0</v>
      </c>
      <c r="AV70" s="1583">
        <f t="shared" si="23"/>
        <v>0</v>
      </c>
      <c r="AW70" s="1583">
        <f t="shared" si="24"/>
        <v>0</v>
      </c>
      <c r="AX70" s="1583">
        <f t="shared" si="25"/>
        <v>0</v>
      </c>
      <c r="AY70" s="1588">
        <f t="shared" si="26"/>
        <v>0</v>
      </c>
      <c r="AZ70" s="1189"/>
      <c r="BA70" s="1587">
        <f t="shared" si="27"/>
        <v>0</v>
      </c>
      <c r="BB70" s="1583">
        <f t="shared" si="28"/>
        <v>0</v>
      </c>
      <c r="BC70" s="1583">
        <f t="shared" si="29"/>
        <v>0</v>
      </c>
      <c r="BD70" s="1583">
        <f t="shared" si="30"/>
        <v>0</v>
      </c>
      <c r="BE70" s="1588">
        <f t="shared" si="31"/>
        <v>0</v>
      </c>
      <c r="BG70" s="1581">
        <f t="shared" si="32"/>
        <v>43101</v>
      </c>
      <c r="BH70" s="1581">
        <f t="shared" si="33"/>
        <v>43101</v>
      </c>
      <c r="BI70" s="1581">
        <f t="shared" si="34"/>
        <v>43101</v>
      </c>
      <c r="BJ70" s="1581">
        <f t="shared" si="35"/>
        <v>0</v>
      </c>
      <c r="BL70" s="1585">
        <f t="shared" si="36"/>
        <v>0</v>
      </c>
      <c r="BM70" s="1581">
        <f t="shared" si="37"/>
        <v>0</v>
      </c>
      <c r="BN70" s="1581">
        <f t="shared" si="38"/>
        <v>0</v>
      </c>
      <c r="BO70" s="1589">
        <f t="shared" si="39"/>
        <v>0</v>
      </c>
      <c r="BP70" s="1514"/>
    </row>
    <row r="71" spans="1:68" ht="30" customHeight="1">
      <c r="A71" s="1577"/>
      <c r="B71" s="1577"/>
      <c r="C71" s="1603"/>
      <c r="D71" s="1578"/>
      <c r="E71" s="1863"/>
      <c r="F71" s="1864"/>
      <c r="G71" s="1865">
        <f t="shared" si="0"/>
        <v>0</v>
      </c>
      <c r="H71" s="1864"/>
      <c r="I71" s="1866"/>
      <c r="J71" s="1864"/>
      <c r="K71" s="1867">
        <f t="shared" si="1"/>
        <v>0</v>
      </c>
      <c r="L71" s="1864"/>
      <c r="M71" s="1866"/>
      <c r="N71" s="1863"/>
      <c r="O71" s="1864"/>
      <c r="P71" s="1867">
        <f t="shared" si="2"/>
        <v>0</v>
      </c>
      <c r="Q71" s="1864"/>
      <c r="R71" s="1866"/>
      <c r="S71" s="1863"/>
      <c r="T71" s="1864"/>
      <c r="U71" s="1867">
        <f t="shared" si="3"/>
        <v>0</v>
      </c>
      <c r="V71" s="1864"/>
      <c r="W71" s="1866"/>
      <c r="X71" s="1863"/>
      <c r="Y71" s="1864"/>
      <c r="Z71" s="1867">
        <f t="shared" si="4"/>
        <v>0</v>
      </c>
      <c r="AA71" s="1868">
        <f t="shared" si="5"/>
        <v>0</v>
      </c>
      <c r="AB71" s="1869" t="str">
        <f t="shared" si="6"/>
        <v/>
      </c>
      <c r="AC71" s="690"/>
      <c r="AD71" s="1580" t="str">
        <f t="shared" si="7"/>
        <v/>
      </c>
      <c r="AE71" s="1581">
        <f t="shared" si="8"/>
        <v>0</v>
      </c>
      <c r="AF71" s="1581">
        <f t="shared" si="9"/>
        <v>0</v>
      </c>
      <c r="AG71" s="1581">
        <f t="shared" si="10"/>
        <v>0</v>
      </c>
      <c r="AH71" s="1581">
        <f t="shared" si="11"/>
        <v>0</v>
      </c>
      <c r="AI71" s="1582">
        <f t="shared" si="12"/>
        <v>0</v>
      </c>
      <c r="AJ71" s="1583">
        <f t="shared" si="13"/>
        <v>1</v>
      </c>
      <c r="AK71" s="1581">
        <f t="shared" si="14"/>
        <v>0</v>
      </c>
      <c r="AL71" s="1584" t="e">
        <f t="shared" si="15"/>
        <v>#DIV/0!</v>
      </c>
      <c r="AM71" s="1188"/>
      <c r="AN71" s="1585">
        <f t="shared" si="16"/>
        <v>0</v>
      </c>
      <c r="AO71" s="1583">
        <f t="shared" si="17"/>
        <v>0</v>
      </c>
      <c r="AP71" s="1583">
        <f t="shared" si="18"/>
        <v>0</v>
      </c>
      <c r="AQ71" s="1583">
        <f t="shared" si="19"/>
        <v>0</v>
      </c>
      <c r="AR71" s="1586">
        <f t="shared" si="20"/>
        <v>0</v>
      </c>
      <c r="AT71" s="1587">
        <f t="shared" si="21"/>
        <v>0</v>
      </c>
      <c r="AU71" s="1583">
        <f t="shared" si="22"/>
        <v>0</v>
      </c>
      <c r="AV71" s="1583">
        <f t="shared" si="23"/>
        <v>0</v>
      </c>
      <c r="AW71" s="1583">
        <f t="shared" si="24"/>
        <v>0</v>
      </c>
      <c r="AX71" s="1583">
        <f t="shared" si="25"/>
        <v>0</v>
      </c>
      <c r="AY71" s="1588">
        <f t="shared" si="26"/>
        <v>0</v>
      </c>
      <c r="AZ71" s="1189"/>
      <c r="BA71" s="1587">
        <f t="shared" si="27"/>
        <v>0</v>
      </c>
      <c r="BB71" s="1583">
        <f t="shared" si="28"/>
        <v>0</v>
      </c>
      <c r="BC71" s="1583">
        <f t="shared" si="29"/>
        <v>0</v>
      </c>
      <c r="BD71" s="1583">
        <f t="shared" si="30"/>
        <v>0</v>
      </c>
      <c r="BE71" s="1588">
        <f t="shared" si="31"/>
        <v>0</v>
      </c>
      <c r="BG71" s="1581">
        <f t="shared" si="32"/>
        <v>43101</v>
      </c>
      <c r="BH71" s="1581">
        <f t="shared" si="33"/>
        <v>43101</v>
      </c>
      <c r="BI71" s="1581">
        <f t="shared" si="34"/>
        <v>43101</v>
      </c>
      <c r="BJ71" s="1581">
        <f t="shared" si="35"/>
        <v>0</v>
      </c>
      <c r="BL71" s="1585">
        <f t="shared" si="36"/>
        <v>0</v>
      </c>
      <c r="BM71" s="1581">
        <f t="shared" si="37"/>
        <v>0</v>
      </c>
      <c r="BN71" s="1581">
        <f t="shared" si="38"/>
        <v>0</v>
      </c>
      <c r="BO71" s="1589">
        <f t="shared" si="39"/>
        <v>0</v>
      </c>
      <c r="BP71" s="1514"/>
    </row>
    <row r="72" spans="1:68" ht="30" customHeight="1">
      <c r="A72" s="1577"/>
      <c r="B72" s="1577"/>
      <c r="C72" s="1603"/>
      <c r="D72" s="1578"/>
      <c r="E72" s="1863"/>
      <c r="F72" s="1864"/>
      <c r="G72" s="1865">
        <f t="shared" si="0"/>
        <v>0</v>
      </c>
      <c r="H72" s="1864"/>
      <c r="I72" s="1866"/>
      <c r="J72" s="1864"/>
      <c r="K72" s="1867">
        <f t="shared" si="1"/>
        <v>0</v>
      </c>
      <c r="L72" s="1864"/>
      <c r="M72" s="1866"/>
      <c r="N72" s="1863"/>
      <c r="O72" s="1864"/>
      <c r="P72" s="1867">
        <f t="shared" si="2"/>
        <v>0</v>
      </c>
      <c r="Q72" s="1864"/>
      <c r="R72" s="1866"/>
      <c r="S72" s="1863"/>
      <c r="T72" s="1864"/>
      <c r="U72" s="1867">
        <f t="shared" si="3"/>
        <v>0</v>
      </c>
      <c r="V72" s="1864"/>
      <c r="W72" s="1866"/>
      <c r="X72" s="1863"/>
      <c r="Y72" s="1864"/>
      <c r="Z72" s="1867">
        <f t="shared" si="4"/>
        <v>0</v>
      </c>
      <c r="AA72" s="1868">
        <f t="shared" si="5"/>
        <v>0</v>
      </c>
      <c r="AB72" s="1869" t="str">
        <f t="shared" si="6"/>
        <v/>
      </c>
      <c r="AC72" s="690"/>
      <c r="AD72" s="1580" t="str">
        <f t="shared" si="7"/>
        <v/>
      </c>
      <c r="AE72" s="1581">
        <f t="shared" si="8"/>
        <v>0</v>
      </c>
      <c r="AF72" s="1581">
        <f t="shared" si="9"/>
        <v>0</v>
      </c>
      <c r="AG72" s="1581">
        <f t="shared" si="10"/>
        <v>0</v>
      </c>
      <c r="AH72" s="1581">
        <f t="shared" si="11"/>
        <v>0</v>
      </c>
      <c r="AI72" s="1582">
        <f t="shared" si="12"/>
        <v>0</v>
      </c>
      <c r="AJ72" s="1583">
        <f t="shared" si="13"/>
        <v>1</v>
      </c>
      <c r="AK72" s="1581">
        <f t="shared" si="14"/>
        <v>0</v>
      </c>
      <c r="AL72" s="1584" t="e">
        <f t="shared" si="15"/>
        <v>#DIV/0!</v>
      </c>
      <c r="AM72" s="1188"/>
      <c r="AN72" s="1585">
        <f t="shared" si="16"/>
        <v>0</v>
      </c>
      <c r="AO72" s="1583">
        <f t="shared" si="17"/>
        <v>0</v>
      </c>
      <c r="AP72" s="1583">
        <f t="shared" si="18"/>
        <v>0</v>
      </c>
      <c r="AQ72" s="1583">
        <f t="shared" si="19"/>
        <v>0</v>
      </c>
      <c r="AR72" s="1586">
        <f t="shared" si="20"/>
        <v>0</v>
      </c>
      <c r="AT72" s="1587">
        <f t="shared" si="21"/>
        <v>0</v>
      </c>
      <c r="AU72" s="1583">
        <f t="shared" si="22"/>
        <v>0</v>
      </c>
      <c r="AV72" s="1583">
        <f t="shared" si="23"/>
        <v>0</v>
      </c>
      <c r="AW72" s="1583">
        <f t="shared" si="24"/>
        <v>0</v>
      </c>
      <c r="AX72" s="1583">
        <f t="shared" si="25"/>
        <v>0</v>
      </c>
      <c r="AY72" s="1588">
        <f t="shared" si="26"/>
        <v>0</v>
      </c>
      <c r="AZ72" s="1189"/>
      <c r="BA72" s="1587">
        <f t="shared" si="27"/>
        <v>0</v>
      </c>
      <c r="BB72" s="1583">
        <f t="shared" si="28"/>
        <v>0</v>
      </c>
      <c r="BC72" s="1583">
        <f t="shared" si="29"/>
        <v>0</v>
      </c>
      <c r="BD72" s="1583">
        <f t="shared" si="30"/>
        <v>0</v>
      </c>
      <c r="BE72" s="1588">
        <f t="shared" si="31"/>
        <v>0</v>
      </c>
      <c r="BG72" s="1581">
        <f t="shared" si="32"/>
        <v>43101</v>
      </c>
      <c r="BH72" s="1581">
        <f t="shared" si="33"/>
        <v>43101</v>
      </c>
      <c r="BI72" s="1581">
        <f t="shared" si="34"/>
        <v>43101</v>
      </c>
      <c r="BJ72" s="1581">
        <f t="shared" si="35"/>
        <v>0</v>
      </c>
      <c r="BL72" s="1585">
        <f t="shared" si="36"/>
        <v>0</v>
      </c>
      <c r="BM72" s="1581">
        <f t="shared" si="37"/>
        <v>0</v>
      </c>
      <c r="BN72" s="1581">
        <f t="shared" si="38"/>
        <v>0</v>
      </c>
      <c r="BO72" s="1589">
        <f t="shared" si="39"/>
        <v>0</v>
      </c>
      <c r="BP72" s="1514"/>
    </row>
    <row r="73" spans="1:68" ht="30" customHeight="1">
      <c r="A73" s="1577"/>
      <c r="B73" s="1577"/>
      <c r="C73" s="1603"/>
      <c r="D73" s="1578"/>
      <c r="E73" s="1863"/>
      <c r="F73" s="1864"/>
      <c r="G73" s="1865">
        <f t="shared" si="0"/>
        <v>0</v>
      </c>
      <c r="H73" s="1864"/>
      <c r="I73" s="1866"/>
      <c r="J73" s="1864"/>
      <c r="K73" s="1867">
        <f t="shared" si="1"/>
        <v>0</v>
      </c>
      <c r="L73" s="1864"/>
      <c r="M73" s="1866"/>
      <c r="N73" s="1863"/>
      <c r="O73" s="1864"/>
      <c r="P73" s="1867">
        <f t="shared" si="2"/>
        <v>0</v>
      </c>
      <c r="Q73" s="1864"/>
      <c r="R73" s="1866"/>
      <c r="S73" s="1863"/>
      <c r="T73" s="1864"/>
      <c r="U73" s="1867">
        <f t="shared" si="3"/>
        <v>0</v>
      </c>
      <c r="V73" s="1864"/>
      <c r="W73" s="1866"/>
      <c r="X73" s="1863"/>
      <c r="Y73" s="1864"/>
      <c r="Z73" s="1867">
        <f t="shared" si="4"/>
        <v>0</v>
      </c>
      <c r="AA73" s="1868">
        <f t="shared" si="5"/>
        <v>0</v>
      </c>
      <c r="AB73" s="1869" t="str">
        <f t="shared" si="6"/>
        <v/>
      </c>
      <c r="AC73" s="690"/>
      <c r="AD73" s="1580" t="str">
        <f t="shared" si="7"/>
        <v/>
      </c>
      <c r="AE73" s="1581">
        <f t="shared" si="8"/>
        <v>0</v>
      </c>
      <c r="AF73" s="1581">
        <f t="shared" si="9"/>
        <v>0</v>
      </c>
      <c r="AG73" s="1581">
        <f t="shared" si="10"/>
        <v>0</v>
      </c>
      <c r="AH73" s="1581">
        <f t="shared" si="11"/>
        <v>0</v>
      </c>
      <c r="AI73" s="1582">
        <f t="shared" si="12"/>
        <v>0</v>
      </c>
      <c r="AJ73" s="1583">
        <f t="shared" si="13"/>
        <v>1</v>
      </c>
      <c r="AK73" s="1581">
        <f t="shared" si="14"/>
        <v>0</v>
      </c>
      <c r="AL73" s="1584" t="e">
        <f t="shared" si="15"/>
        <v>#DIV/0!</v>
      </c>
      <c r="AM73" s="1188"/>
      <c r="AN73" s="1585">
        <f t="shared" si="16"/>
        <v>0</v>
      </c>
      <c r="AO73" s="1583">
        <f t="shared" si="17"/>
        <v>0</v>
      </c>
      <c r="AP73" s="1583">
        <f t="shared" si="18"/>
        <v>0</v>
      </c>
      <c r="AQ73" s="1583">
        <f t="shared" si="19"/>
        <v>0</v>
      </c>
      <c r="AR73" s="1586">
        <f t="shared" si="20"/>
        <v>0</v>
      </c>
      <c r="AT73" s="1587">
        <f t="shared" si="21"/>
        <v>0</v>
      </c>
      <c r="AU73" s="1583">
        <f t="shared" si="22"/>
        <v>0</v>
      </c>
      <c r="AV73" s="1583">
        <f t="shared" si="23"/>
        <v>0</v>
      </c>
      <c r="AW73" s="1583">
        <f t="shared" si="24"/>
        <v>0</v>
      </c>
      <c r="AX73" s="1583">
        <f t="shared" si="25"/>
        <v>0</v>
      </c>
      <c r="AY73" s="1588">
        <f t="shared" si="26"/>
        <v>0</v>
      </c>
      <c r="AZ73" s="1189"/>
      <c r="BA73" s="1587">
        <f t="shared" si="27"/>
        <v>0</v>
      </c>
      <c r="BB73" s="1583">
        <f t="shared" si="28"/>
        <v>0</v>
      </c>
      <c r="BC73" s="1583">
        <f t="shared" si="29"/>
        <v>0</v>
      </c>
      <c r="BD73" s="1583">
        <f t="shared" si="30"/>
        <v>0</v>
      </c>
      <c r="BE73" s="1588">
        <f t="shared" si="31"/>
        <v>0</v>
      </c>
      <c r="BG73" s="1581">
        <f t="shared" si="32"/>
        <v>43101</v>
      </c>
      <c r="BH73" s="1581">
        <f t="shared" si="33"/>
        <v>43101</v>
      </c>
      <c r="BI73" s="1581">
        <f t="shared" si="34"/>
        <v>43101</v>
      </c>
      <c r="BJ73" s="1581">
        <f t="shared" si="35"/>
        <v>0</v>
      </c>
      <c r="BL73" s="1585">
        <f t="shared" si="36"/>
        <v>0</v>
      </c>
      <c r="BM73" s="1581">
        <f t="shared" si="37"/>
        <v>0</v>
      </c>
      <c r="BN73" s="1581">
        <f t="shared" si="38"/>
        <v>0</v>
      </c>
      <c r="BO73" s="1589">
        <f t="shared" si="39"/>
        <v>0</v>
      </c>
      <c r="BP73" s="1514"/>
    </row>
    <row r="74" spans="1:68" ht="30" customHeight="1">
      <c r="A74" s="1577"/>
      <c r="B74" s="1577"/>
      <c r="C74" s="1603"/>
      <c r="D74" s="1578"/>
      <c r="E74" s="1863"/>
      <c r="F74" s="1864"/>
      <c r="G74" s="1865">
        <f t="shared" si="0"/>
        <v>0</v>
      </c>
      <c r="H74" s="1864"/>
      <c r="I74" s="1866"/>
      <c r="J74" s="1864"/>
      <c r="K74" s="1867">
        <f t="shared" si="1"/>
        <v>0</v>
      </c>
      <c r="L74" s="1864"/>
      <c r="M74" s="1866"/>
      <c r="N74" s="1863"/>
      <c r="O74" s="1864"/>
      <c r="P74" s="1867">
        <f t="shared" si="2"/>
        <v>0</v>
      </c>
      <c r="Q74" s="1864"/>
      <c r="R74" s="1866"/>
      <c r="S74" s="1863"/>
      <c r="T74" s="1864"/>
      <c r="U74" s="1867">
        <f t="shared" si="3"/>
        <v>0</v>
      </c>
      <c r="V74" s="1864"/>
      <c r="W74" s="1866"/>
      <c r="X74" s="1863"/>
      <c r="Y74" s="1864"/>
      <c r="Z74" s="1867">
        <f t="shared" si="4"/>
        <v>0</v>
      </c>
      <c r="AA74" s="1868">
        <f t="shared" si="5"/>
        <v>0</v>
      </c>
      <c r="AB74" s="1869" t="str">
        <f t="shared" si="6"/>
        <v/>
      </c>
      <c r="AC74" s="690"/>
      <c r="AD74" s="1580" t="str">
        <f t="shared" si="7"/>
        <v/>
      </c>
      <c r="AE74" s="1581">
        <f t="shared" si="8"/>
        <v>0</v>
      </c>
      <c r="AF74" s="1581">
        <f t="shared" si="9"/>
        <v>0</v>
      </c>
      <c r="AG74" s="1581">
        <f t="shared" si="10"/>
        <v>0</v>
      </c>
      <c r="AH74" s="1581">
        <f t="shared" si="11"/>
        <v>0</v>
      </c>
      <c r="AI74" s="1582">
        <f t="shared" si="12"/>
        <v>0</v>
      </c>
      <c r="AJ74" s="1583">
        <f t="shared" si="13"/>
        <v>1</v>
      </c>
      <c r="AK74" s="1581">
        <f t="shared" si="14"/>
        <v>0</v>
      </c>
      <c r="AL74" s="1584" t="e">
        <f t="shared" si="15"/>
        <v>#DIV/0!</v>
      </c>
      <c r="AM74" s="1188"/>
      <c r="AN74" s="1585">
        <f t="shared" si="16"/>
        <v>0</v>
      </c>
      <c r="AO74" s="1583">
        <f t="shared" si="17"/>
        <v>0</v>
      </c>
      <c r="AP74" s="1583">
        <f t="shared" si="18"/>
        <v>0</v>
      </c>
      <c r="AQ74" s="1583">
        <f t="shared" si="19"/>
        <v>0</v>
      </c>
      <c r="AR74" s="1586">
        <f t="shared" si="20"/>
        <v>0</v>
      </c>
      <c r="AT74" s="1587">
        <f t="shared" si="21"/>
        <v>0</v>
      </c>
      <c r="AU74" s="1583">
        <f t="shared" si="22"/>
        <v>0</v>
      </c>
      <c r="AV74" s="1583">
        <f t="shared" si="23"/>
        <v>0</v>
      </c>
      <c r="AW74" s="1583">
        <f t="shared" si="24"/>
        <v>0</v>
      </c>
      <c r="AX74" s="1583">
        <f t="shared" si="25"/>
        <v>0</v>
      </c>
      <c r="AY74" s="1588">
        <f t="shared" si="26"/>
        <v>0</v>
      </c>
      <c r="AZ74" s="1189"/>
      <c r="BA74" s="1587">
        <f t="shared" si="27"/>
        <v>0</v>
      </c>
      <c r="BB74" s="1583">
        <f t="shared" si="28"/>
        <v>0</v>
      </c>
      <c r="BC74" s="1583">
        <f t="shared" si="29"/>
        <v>0</v>
      </c>
      <c r="BD74" s="1583">
        <f t="shared" si="30"/>
        <v>0</v>
      </c>
      <c r="BE74" s="1588">
        <f t="shared" si="31"/>
        <v>0</v>
      </c>
      <c r="BG74" s="1581">
        <f t="shared" si="32"/>
        <v>43101</v>
      </c>
      <c r="BH74" s="1581">
        <f t="shared" si="33"/>
        <v>43101</v>
      </c>
      <c r="BI74" s="1581">
        <f t="shared" si="34"/>
        <v>43101</v>
      </c>
      <c r="BJ74" s="1581">
        <f t="shared" si="35"/>
        <v>0</v>
      </c>
      <c r="BL74" s="1585">
        <f t="shared" si="36"/>
        <v>0</v>
      </c>
      <c r="BM74" s="1581">
        <f t="shared" si="37"/>
        <v>0</v>
      </c>
      <c r="BN74" s="1581">
        <f t="shared" si="38"/>
        <v>0</v>
      </c>
      <c r="BO74" s="1589">
        <f t="shared" si="39"/>
        <v>0</v>
      </c>
      <c r="BP74" s="1514"/>
    </row>
    <row r="75" spans="1:68" ht="30" customHeight="1">
      <c r="A75" s="1577"/>
      <c r="B75" s="1577"/>
      <c r="C75" s="1603"/>
      <c r="D75" s="1578"/>
      <c r="E75" s="1863"/>
      <c r="F75" s="1864"/>
      <c r="G75" s="1865">
        <f t="shared" si="0"/>
        <v>0</v>
      </c>
      <c r="H75" s="1864"/>
      <c r="I75" s="1866"/>
      <c r="J75" s="1864"/>
      <c r="K75" s="1867">
        <f t="shared" si="1"/>
        <v>0</v>
      </c>
      <c r="L75" s="1864"/>
      <c r="M75" s="1866"/>
      <c r="N75" s="1863"/>
      <c r="O75" s="1864"/>
      <c r="P75" s="1867">
        <f t="shared" si="2"/>
        <v>0</v>
      </c>
      <c r="Q75" s="1864"/>
      <c r="R75" s="1866"/>
      <c r="S75" s="1863"/>
      <c r="T75" s="1864"/>
      <c r="U75" s="1867">
        <f t="shared" si="3"/>
        <v>0</v>
      </c>
      <c r="V75" s="1864"/>
      <c r="W75" s="1866"/>
      <c r="X75" s="1863"/>
      <c r="Y75" s="1864"/>
      <c r="Z75" s="1867">
        <f t="shared" si="4"/>
        <v>0</v>
      </c>
      <c r="AA75" s="1868">
        <f t="shared" si="5"/>
        <v>0</v>
      </c>
      <c r="AB75" s="1869" t="str">
        <f t="shared" si="6"/>
        <v/>
      </c>
      <c r="AC75" s="690"/>
      <c r="AD75" s="1580" t="str">
        <f t="shared" si="7"/>
        <v/>
      </c>
      <c r="AE75" s="1581">
        <f t="shared" si="8"/>
        <v>0</v>
      </c>
      <c r="AF75" s="1581">
        <f t="shared" si="9"/>
        <v>0</v>
      </c>
      <c r="AG75" s="1581">
        <f t="shared" si="10"/>
        <v>0</v>
      </c>
      <c r="AH75" s="1581">
        <f t="shared" si="11"/>
        <v>0</v>
      </c>
      <c r="AI75" s="1582">
        <f t="shared" si="12"/>
        <v>0</v>
      </c>
      <c r="AJ75" s="1583">
        <f t="shared" si="13"/>
        <v>1</v>
      </c>
      <c r="AK75" s="1581">
        <f t="shared" si="14"/>
        <v>0</v>
      </c>
      <c r="AL75" s="1584" t="e">
        <f t="shared" si="15"/>
        <v>#DIV/0!</v>
      </c>
      <c r="AM75" s="1188"/>
      <c r="AN75" s="1585">
        <f t="shared" si="16"/>
        <v>0</v>
      </c>
      <c r="AO75" s="1583">
        <f t="shared" si="17"/>
        <v>0</v>
      </c>
      <c r="AP75" s="1583">
        <f t="shared" si="18"/>
        <v>0</v>
      </c>
      <c r="AQ75" s="1583">
        <f t="shared" si="19"/>
        <v>0</v>
      </c>
      <c r="AR75" s="1586">
        <f t="shared" si="20"/>
        <v>0</v>
      </c>
      <c r="AT75" s="1587">
        <f t="shared" si="21"/>
        <v>0</v>
      </c>
      <c r="AU75" s="1583">
        <f t="shared" si="22"/>
        <v>0</v>
      </c>
      <c r="AV75" s="1583">
        <f t="shared" si="23"/>
        <v>0</v>
      </c>
      <c r="AW75" s="1583">
        <f t="shared" si="24"/>
        <v>0</v>
      </c>
      <c r="AX75" s="1583">
        <f t="shared" si="25"/>
        <v>0</v>
      </c>
      <c r="AY75" s="1588">
        <f t="shared" si="26"/>
        <v>0</v>
      </c>
      <c r="AZ75" s="1189"/>
      <c r="BA75" s="1587">
        <f t="shared" si="27"/>
        <v>0</v>
      </c>
      <c r="BB75" s="1583">
        <f t="shared" si="28"/>
        <v>0</v>
      </c>
      <c r="BC75" s="1583">
        <f t="shared" si="29"/>
        <v>0</v>
      </c>
      <c r="BD75" s="1583">
        <f t="shared" si="30"/>
        <v>0</v>
      </c>
      <c r="BE75" s="1588">
        <f t="shared" si="31"/>
        <v>0</v>
      </c>
      <c r="BG75" s="1581">
        <f t="shared" si="32"/>
        <v>43101</v>
      </c>
      <c r="BH75" s="1581">
        <f t="shared" si="33"/>
        <v>43101</v>
      </c>
      <c r="BI75" s="1581">
        <f t="shared" si="34"/>
        <v>43101</v>
      </c>
      <c r="BJ75" s="1581">
        <f t="shared" si="35"/>
        <v>0</v>
      </c>
      <c r="BL75" s="1585">
        <f t="shared" si="36"/>
        <v>0</v>
      </c>
      <c r="BM75" s="1581">
        <f t="shared" si="37"/>
        <v>0</v>
      </c>
      <c r="BN75" s="1581">
        <f t="shared" si="38"/>
        <v>0</v>
      </c>
      <c r="BO75" s="1589">
        <f t="shared" si="39"/>
        <v>0</v>
      </c>
      <c r="BP75" s="1514"/>
    </row>
    <row r="76" spans="1:68" ht="30" customHeight="1">
      <c r="A76" s="1577"/>
      <c r="B76" s="1577"/>
      <c r="C76" s="1603"/>
      <c r="D76" s="1578"/>
      <c r="E76" s="1863"/>
      <c r="F76" s="1864"/>
      <c r="G76" s="1865">
        <f t="shared" si="0"/>
        <v>0</v>
      </c>
      <c r="H76" s="1864"/>
      <c r="I76" s="1866"/>
      <c r="J76" s="1864"/>
      <c r="K76" s="1867">
        <f t="shared" si="1"/>
        <v>0</v>
      </c>
      <c r="L76" s="1864"/>
      <c r="M76" s="1866"/>
      <c r="N76" s="1863"/>
      <c r="O76" s="1864"/>
      <c r="P76" s="1867">
        <f t="shared" si="2"/>
        <v>0</v>
      </c>
      <c r="Q76" s="1864"/>
      <c r="R76" s="1866"/>
      <c r="S76" s="1863"/>
      <c r="T76" s="1864"/>
      <c r="U76" s="1867">
        <f t="shared" si="3"/>
        <v>0</v>
      </c>
      <c r="V76" s="1864"/>
      <c r="W76" s="1866"/>
      <c r="X76" s="1863"/>
      <c r="Y76" s="1864"/>
      <c r="Z76" s="1867">
        <f t="shared" si="4"/>
        <v>0</v>
      </c>
      <c r="AA76" s="1868">
        <f t="shared" si="5"/>
        <v>0</v>
      </c>
      <c r="AB76" s="1869" t="str">
        <f t="shared" si="6"/>
        <v/>
      </c>
      <c r="AC76" s="690"/>
      <c r="AD76" s="1580" t="str">
        <f t="shared" si="7"/>
        <v/>
      </c>
      <c r="AE76" s="1581">
        <f t="shared" si="8"/>
        <v>0</v>
      </c>
      <c r="AF76" s="1581">
        <f t="shared" si="9"/>
        <v>0</v>
      </c>
      <c r="AG76" s="1581">
        <f t="shared" si="10"/>
        <v>0</v>
      </c>
      <c r="AH76" s="1581">
        <f t="shared" si="11"/>
        <v>0</v>
      </c>
      <c r="AI76" s="1582">
        <f t="shared" si="12"/>
        <v>0</v>
      </c>
      <c r="AJ76" s="1583">
        <f t="shared" si="13"/>
        <v>1</v>
      </c>
      <c r="AK76" s="1581">
        <f t="shared" si="14"/>
        <v>0</v>
      </c>
      <c r="AL76" s="1584" t="e">
        <f t="shared" si="15"/>
        <v>#DIV/0!</v>
      </c>
      <c r="AM76" s="1188"/>
      <c r="AN76" s="1585">
        <f t="shared" si="16"/>
        <v>0</v>
      </c>
      <c r="AO76" s="1583">
        <f t="shared" si="17"/>
        <v>0</v>
      </c>
      <c r="AP76" s="1583">
        <f t="shared" si="18"/>
        <v>0</v>
      </c>
      <c r="AQ76" s="1583">
        <f t="shared" si="19"/>
        <v>0</v>
      </c>
      <c r="AR76" s="1586">
        <f t="shared" si="20"/>
        <v>0</v>
      </c>
      <c r="AT76" s="1587">
        <f t="shared" si="21"/>
        <v>0</v>
      </c>
      <c r="AU76" s="1583">
        <f t="shared" si="22"/>
        <v>0</v>
      </c>
      <c r="AV76" s="1583">
        <f t="shared" si="23"/>
        <v>0</v>
      </c>
      <c r="AW76" s="1583">
        <f t="shared" si="24"/>
        <v>0</v>
      </c>
      <c r="AX76" s="1583">
        <f t="shared" si="25"/>
        <v>0</v>
      </c>
      <c r="AY76" s="1588">
        <f t="shared" si="26"/>
        <v>0</v>
      </c>
      <c r="AZ76" s="1189"/>
      <c r="BA76" s="1587">
        <f t="shared" si="27"/>
        <v>0</v>
      </c>
      <c r="BB76" s="1583">
        <f t="shared" si="28"/>
        <v>0</v>
      </c>
      <c r="BC76" s="1583">
        <f t="shared" si="29"/>
        <v>0</v>
      </c>
      <c r="BD76" s="1583">
        <f t="shared" si="30"/>
        <v>0</v>
      </c>
      <c r="BE76" s="1588">
        <f t="shared" si="31"/>
        <v>0</v>
      </c>
      <c r="BG76" s="1581">
        <f t="shared" si="32"/>
        <v>43101</v>
      </c>
      <c r="BH76" s="1581">
        <f t="shared" si="33"/>
        <v>43101</v>
      </c>
      <c r="BI76" s="1581">
        <f t="shared" si="34"/>
        <v>43101</v>
      </c>
      <c r="BJ76" s="1581">
        <f t="shared" si="35"/>
        <v>0</v>
      </c>
      <c r="BL76" s="1585">
        <f t="shared" si="36"/>
        <v>0</v>
      </c>
      <c r="BM76" s="1581">
        <f t="shared" si="37"/>
        <v>0</v>
      </c>
      <c r="BN76" s="1581">
        <f t="shared" si="38"/>
        <v>0</v>
      </c>
      <c r="BO76" s="1589">
        <f t="shared" si="39"/>
        <v>0</v>
      </c>
      <c r="BP76" s="1514"/>
    </row>
    <row r="77" spans="1:68" ht="30" customHeight="1">
      <c r="A77" s="1577"/>
      <c r="B77" s="1577"/>
      <c r="C77" s="1603"/>
      <c r="D77" s="1578"/>
      <c r="E77" s="1863"/>
      <c r="F77" s="1864"/>
      <c r="G77" s="1865">
        <f t="shared" si="0"/>
        <v>0</v>
      </c>
      <c r="H77" s="1864"/>
      <c r="I77" s="1866"/>
      <c r="J77" s="1864"/>
      <c r="K77" s="1867">
        <f t="shared" si="1"/>
        <v>0</v>
      </c>
      <c r="L77" s="1864"/>
      <c r="M77" s="1866"/>
      <c r="N77" s="1863"/>
      <c r="O77" s="1864"/>
      <c r="P77" s="1867">
        <f t="shared" si="2"/>
        <v>0</v>
      </c>
      <c r="Q77" s="1864"/>
      <c r="R77" s="1866"/>
      <c r="S77" s="1863"/>
      <c r="T77" s="1864"/>
      <c r="U77" s="1867">
        <f t="shared" si="3"/>
        <v>0</v>
      </c>
      <c r="V77" s="1864"/>
      <c r="W77" s="1866"/>
      <c r="X77" s="1863"/>
      <c r="Y77" s="1864"/>
      <c r="Z77" s="1867">
        <f t="shared" si="4"/>
        <v>0</v>
      </c>
      <c r="AA77" s="1868">
        <f t="shared" si="5"/>
        <v>0</v>
      </c>
      <c r="AB77" s="1869" t="str">
        <f t="shared" si="6"/>
        <v/>
      </c>
      <c r="AC77" s="690"/>
      <c r="AD77" s="1580" t="str">
        <f t="shared" si="7"/>
        <v/>
      </c>
      <c r="AE77" s="1581">
        <f t="shared" si="8"/>
        <v>0</v>
      </c>
      <c r="AF77" s="1581">
        <f t="shared" si="9"/>
        <v>0</v>
      </c>
      <c r="AG77" s="1581">
        <f t="shared" si="10"/>
        <v>0</v>
      </c>
      <c r="AH77" s="1581">
        <f t="shared" si="11"/>
        <v>0</v>
      </c>
      <c r="AI77" s="1582">
        <f t="shared" si="12"/>
        <v>0</v>
      </c>
      <c r="AJ77" s="1583">
        <f t="shared" si="13"/>
        <v>1</v>
      </c>
      <c r="AK77" s="1581">
        <f t="shared" si="14"/>
        <v>0</v>
      </c>
      <c r="AL77" s="1584" t="e">
        <f t="shared" si="15"/>
        <v>#DIV/0!</v>
      </c>
      <c r="AM77" s="1188"/>
      <c r="AN77" s="1585">
        <f t="shared" si="16"/>
        <v>0</v>
      </c>
      <c r="AO77" s="1583">
        <f t="shared" si="17"/>
        <v>0</v>
      </c>
      <c r="AP77" s="1583">
        <f t="shared" si="18"/>
        <v>0</v>
      </c>
      <c r="AQ77" s="1583">
        <f t="shared" si="19"/>
        <v>0</v>
      </c>
      <c r="AR77" s="1586">
        <f t="shared" si="20"/>
        <v>0</v>
      </c>
      <c r="AT77" s="1587">
        <f t="shared" si="21"/>
        <v>0</v>
      </c>
      <c r="AU77" s="1583">
        <f t="shared" si="22"/>
        <v>0</v>
      </c>
      <c r="AV77" s="1583">
        <f t="shared" si="23"/>
        <v>0</v>
      </c>
      <c r="AW77" s="1583">
        <f t="shared" si="24"/>
        <v>0</v>
      </c>
      <c r="AX77" s="1583">
        <f t="shared" si="25"/>
        <v>0</v>
      </c>
      <c r="AY77" s="1588">
        <f t="shared" si="26"/>
        <v>0</v>
      </c>
      <c r="AZ77" s="1189"/>
      <c r="BA77" s="1587">
        <f t="shared" si="27"/>
        <v>0</v>
      </c>
      <c r="BB77" s="1583">
        <f t="shared" si="28"/>
        <v>0</v>
      </c>
      <c r="BC77" s="1583">
        <f t="shared" si="29"/>
        <v>0</v>
      </c>
      <c r="BD77" s="1583">
        <f t="shared" si="30"/>
        <v>0</v>
      </c>
      <c r="BE77" s="1588">
        <f t="shared" si="31"/>
        <v>0</v>
      </c>
      <c r="BG77" s="1581">
        <f t="shared" si="32"/>
        <v>43101</v>
      </c>
      <c r="BH77" s="1581">
        <f t="shared" si="33"/>
        <v>43101</v>
      </c>
      <c r="BI77" s="1581">
        <f t="shared" si="34"/>
        <v>43101</v>
      </c>
      <c r="BJ77" s="1581">
        <f t="shared" si="35"/>
        <v>0</v>
      </c>
      <c r="BL77" s="1585">
        <f t="shared" si="36"/>
        <v>0</v>
      </c>
      <c r="BM77" s="1581">
        <f t="shared" si="37"/>
        <v>0</v>
      </c>
      <c r="BN77" s="1581">
        <f t="shared" si="38"/>
        <v>0</v>
      </c>
      <c r="BO77" s="1589">
        <f t="shared" si="39"/>
        <v>0</v>
      </c>
      <c r="BP77" s="1514"/>
    </row>
    <row r="78" spans="1:68" ht="30" customHeight="1">
      <c r="A78" s="1577"/>
      <c r="B78" s="1577"/>
      <c r="C78" s="1603"/>
      <c r="D78" s="1578"/>
      <c r="E78" s="1863"/>
      <c r="F78" s="1864"/>
      <c r="G78" s="1865">
        <f t="shared" si="0"/>
        <v>0</v>
      </c>
      <c r="H78" s="1864"/>
      <c r="I78" s="1866"/>
      <c r="J78" s="1864"/>
      <c r="K78" s="1867">
        <f t="shared" si="1"/>
        <v>0</v>
      </c>
      <c r="L78" s="1864"/>
      <c r="M78" s="1866"/>
      <c r="N78" s="1863"/>
      <c r="O78" s="1864"/>
      <c r="P78" s="1867">
        <f t="shared" si="2"/>
        <v>0</v>
      </c>
      <c r="Q78" s="1864"/>
      <c r="R78" s="1866"/>
      <c r="S78" s="1863"/>
      <c r="T78" s="1864"/>
      <c r="U78" s="1867">
        <f t="shared" si="3"/>
        <v>0</v>
      </c>
      <c r="V78" s="1864"/>
      <c r="W78" s="1866"/>
      <c r="X78" s="1863"/>
      <c r="Y78" s="1864"/>
      <c r="Z78" s="1867">
        <f t="shared" si="4"/>
        <v>0</v>
      </c>
      <c r="AA78" s="1868">
        <f t="shared" si="5"/>
        <v>0</v>
      </c>
      <c r="AB78" s="1869" t="str">
        <f t="shared" si="6"/>
        <v/>
      </c>
      <c r="AC78" s="690"/>
      <c r="AD78" s="1580" t="str">
        <f t="shared" si="7"/>
        <v/>
      </c>
      <c r="AE78" s="1581">
        <f t="shared" si="8"/>
        <v>0</v>
      </c>
      <c r="AF78" s="1581">
        <f t="shared" si="9"/>
        <v>0</v>
      </c>
      <c r="AG78" s="1581">
        <f t="shared" si="10"/>
        <v>0</v>
      </c>
      <c r="AH78" s="1581">
        <f t="shared" si="11"/>
        <v>0</v>
      </c>
      <c r="AI78" s="1582">
        <f t="shared" si="12"/>
        <v>0</v>
      </c>
      <c r="AJ78" s="1583">
        <f t="shared" si="13"/>
        <v>1</v>
      </c>
      <c r="AK78" s="1581">
        <f t="shared" si="14"/>
        <v>0</v>
      </c>
      <c r="AL78" s="1584" t="e">
        <f t="shared" si="15"/>
        <v>#DIV/0!</v>
      </c>
      <c r="AM78" s="1188"/>
      <c r="AN78" s="1585">
        <f t="shared" si="16"/>
        <v>0</v>
      </c>
      <c r="AO78" s="1583">
        <f t="shared" si="17"/>
        <v>0</v>
      </c>
      <c r="AP78" s="1583">
        <f t="shared" si="18"/>
        <v>0</v>
      </c>
      <c r="AQ78" s="1583">
        <f t="shared" si="19"/>
        <v>0</v>
      </c>
      <c r="AR78" s="1586">
        <f t="shared" si="20"/>
        <v>0</v>
      </c>
      <c r="AT78" s="1587">
        <f t="shared" si="21"/>
        <v>0</v>
      </c>
      <c r="AU78" s="1583">
        <f t="shared" si="22"/>
        <v>0</v>
      </c>
      <c r="AV78" s="1583">
        <f t="shared" si="23"/>
        <v>0</v>
      </c>
      <c r="AW78" s="1583">
        <f t="shared" si="24"/>
        <v>0</v>
      </c>
      <c r="AX78" s="1583">
        <f t="shared" si="25"/>
        <v>0</v>
      </c>
      <c r="AY78" s="1588">
        <f t="shared" si="26"/>
        <v>0</v>
      </c>
      <c r="AZ78" s="1189"/>
      <c r="BA78" s="1587">
        <f t="shared" si="27"/>
        <v>0</v>
      </c>
      <c r="BB78" s="1583">
        <f t="shared" si="28"/>
        <v>0</v>
      </c>
      <c r="BC78" s="1583">
        <f t="shared" si="29"/>
        <v>0</v>
      </c>
      <c r="BD78" s="1583">
        <f t="shared" si="30"/>
        <v>0</v>
      </c>
      <c r="BE78" s="1588">
        <f t="shared" si="31"/>
        <v>0</v>
      </c>
      <c r="BG78" s="1581">
        <f t="shared" si="32"/>
        <v>43101</v>
      </c>
      <c r="BH78" s="1581">
        <f t="shared" si="33"/>
        <v>43101</v>
      </c>
      <c r="BI78" s="1581">
        <f t="shared" si="34"/>
        <v>43101</v>
      </c>
      <c r="BJ78" s="1581">
        <f t="shared" si="35"/>
        <v>0</v>
      </c>
      <c r="BL78" s="1585">
        <f t="shared" si="36"/>
        <v>0</v>
      </c>
      <c r="BM78" s="1581">
        <f t="shared" si="37"/>
        <v>0</v>
      </c>
      <c r="BN78" s="1581">
        <f t="shared" si="38"/>
        <v>0</v>
      </c>
      <c r="BO78" s="1589">
        <f t="shared" si="39"/>
        <v>0</v>
      </c>
      <c r="BP78" s="1514"/>
    </row>
    <row r="79" spans="1:68" ht="30" customHeight="1">
      <c r="A79" s="1577"/>
      <c r="B79" s="1577"/>
      <c r="C79" s="1603"/>
      <c r="D79" s="1578"/>
      <c r="E79" s="1863"/>
      <c r="F79" s="1864"/>
      <c r="G79" s="1865">
        <f t="shared" si="0"/>
        <v>0</v>
      </c>
      <c r="H79" s="1864"/>
      <c r="I79" s="1866"/>
      <c r="J79" s="1864"/>
      <c r="K79" s="1867">
        <f t="shared" si="1"/>
        <v>0</v>
      </c>
      <c r="L79" s="1864"/>
      <c r="M79" s="1866"/>
      <c r="N79" s="1863"/>
      <c r="O79" s="1864"/>
      <c r="P79" s="1867">
        <f t="shared" si="2"/>
        <v>0</v>
      </c>
      <c r="Q79" s="1864"/>
      <c r="R79" s="1866"/>
      <c r="S79" s="1863"/>
      <c r="T79" s="1864"/>
      <c r="U79" s="1867">
        <f t="shared" si="3"/>
        <v>0</v>
      </c>
      <c r="V79" s="1864"/>
      <c r="W79" s="1866"/>
      <c r="X79" s="1863"/>
      <c r="Y79" s="1864"/>
      <c r="Z79" s="1867">
        <f t="shared" si="4"/>
        <v>0</v>
      </c>
      <c r="AA79" s="1868">
        <f t="shared" si="5"/>
        <v>0</v>
      </c>
      <c r="AB79" s="1869" t="str">
        <f t="shared" si="6"/>
        <v/>
      </c>
      <c r="AC79" s="690"/>
      <c r="AD79" s="1580" t="str">
        <f t="shared" si="7"/>
        <v/>
      </c>
      <c r="AE79" s="1581">
        <f t="shared" si="8"/>
        <v>0</v>
      </c>
      <c r="AF79" s="1581">
        <f t="shared" si="9"/>
        <v>0</v>
      </c>
      <c r="AG79" s="1581">
        <f t="shared" si="10"/>
        <v>0</v>
      </c>
      <c r="AH79" s="1581">
        <f t="shared" si="11"/>
        <v>0</v>
      </c>
      <c r="AI79" s="1582">
        <f t="shared" si="12"/>
        <v>0</v>
      </c>
      <c r="AJ79" s="1583">
        <f t="shared" si="13"/>
        <v>1</v>
      </c>
      <c r="AK79" s="1581">
        <f t="shared" si="14"/>
        <v>0</v>
      </c>
      <c r="AL79" s="1584" t="e">
        <f t="shared" si="15"/>
        <v>#DIV/0!</v>
      </c>
      <c r="AM79" s="1188"/>
      <c r="AN79" s="1585">
        <f t="shared" si="16"/>
        <v>0</v>
      </c>
      <c r="AO79" s="1583">
        <f t="shared" si="17"/>
        <v>0</v>
      </c>
      <c r="AP79" s="1583">
        <f t="shared" si="18"/>
        <v>0</v>
      </c>
      <c r="AQ79" s="1583">
        <f t="shared" si="19"/>
        <v>0</v>
      </c>
      <c r="AR79" s="1586">
        <f t="shared" si="20"/>
        <v>0</v>
      </c>
      <c r="AT79" s="1587">
        <f t="shared" si="21"/>
        <v>0</v>
      </c>
      <c r="AU79" s="1583">
        <f t="shared" si="22"/>
        <v>0</v>
      </c>
      <c r="AV79" s="1583">
        <f t="shared" si="23"/>
        <v>0</v>
      </c>
      <c r="AW79" s="1583">
        <f t="shared" si="24"/>
        <v>0</v>
      </c>
      <c r="AX79" s="1583">
        <f t="shared" si="25"/>
        <v>0</v>
      </c>
      <c r="AY79" s="1588">
        <f t="shared" si="26"/>
        <v>0</v>
      </c>
      <c r="AZ79" s="1189"/>
      <c r="BA79" s="1587">
        <f t="shared" si="27"/>
        <v>0</v>
      </c>
      <c r="BB79" s="1583">
        <f t="shared" si="28"/>
        <v>0</v>
      </c>
      <c r="BC79" s="1583">
        <f t="shared" si="29"/>
        <v>0</v>
      </c>
      <c r="BD79" s="1583">
        <f t="shared" si="30"/>
        <v>0</v>
      </c>
      <c r="BE79" s="1588">
        <f t="shared" si="31"/>
        <v>0</v>
      </c>
      <c r="BG79" s="1581">
        <f t="shared" si="32"/>
        <v>43101</v>
      </c>
      <c r="BH79" s="1581">
        <f t="shared" si="33"/>
        <v>43101</v>
      </c>
      <c r="BI79" s="1581">
        <f t="shared" si="34"/>
        <v>43101</v>
      </c>
      <c r="BJ79" s="1581">
        <f t="shared" si="35"/>
        <v>0</v>
      </c>
      <c r="BL79" s="1585">
        <f t="shared" si="36"/>
        <v>0</v>
      </c>
      <c r="BM79" s="1581">
        <f t="shared" si="37"/>
        <v>0</v>
      </c>
      <c r="BN79" s="1581">
        <f t="shared" si="38"/>
        <v>0</v>
      </c>
      <c r="BO79" s="1589">
        <f t="shared" si="39"/>
        <v>0</v>
      </c>
      <c r="BP79" s="1514"/>
    </row>
    <row r="80" spans="1:68" ht="30" customHeight="1">
      <c r="A80" s="1577"/>
      <c r="B80" s="1577"/>
      <c r="C80" s="1603"/>
      <c r="D80" s="1578"/>
      <c r="E80" s="1863"/>
      <c r="F80" s="1864"/>
      <c r="G80" s="1865">
        <f t="shared" si="0"/>
        <v>0</v>
      </c>
      <c r="H80" s="1864"/>
      <c r="I80" s="1866"/>
      <c r="J80" s="1864"/>
      <c r="K80" s="1867">
        <f t="shared" si="1"/>
        <v>0</v>
      </c>
      <c r="L80" s="1864"/>
      <c r="M80" s="1866"/>
      <c r="N80" s="1863"/>
      <c r="O80" s="1864"/>
      <c r="P80" s="1867">
        <f t="shared" si="2"/>
        <v>0</v>
      </c>
      <c r="Q80" s="1864"/>
      <c r="R80" s="1866"/>
      <c r="S80" s="1863"/>
      <c r="T80" s="1864"/>
      <c r="U80" s="1867">
        <f t="shared" si="3"/>
        <v>0</v>
      </c>
      <c r="V80" s="1864"/>
      <c r="W80" s="1866"/>
      <c r="X80" s="1863"/>
      <c r="Y80" s="1864"/>
      <c r="Z80" s="1867">
        <f t="shared" si="4"/>
        <v>0</v>
      </c>
      <c r="AA80" s="1868">
        <f t="shared" si="5"/>
        <v>0</v>
      </c>
      <c r="AB80" s="1869" t="str">
        <f t="shared" si="6"/>
        <v/>
      </c>
      <c r="AC80" s="690"/>
      <c r="AD80" s="1580" t="str">
        <f t="shared" si="7"/>
        <v/>
      </c>
      <c r="AE80" s="1581">
        <f t="shared" si="8"/>
        <v>0</v>
      </c>
      <c r="AF80" s="1581">
        <f t="shared" si="9"/>
        <v>0</v>
      </c>
      <c r="AG80" s="1581">
        <f t="shared" si="10"/>
        <v>0</v>
      </c>
      <c r="AH80" s="1581">
        <f t="shared" si="11"/>
        <v>0</v>
      </c>
      <c r="AI80" s="1582">
        <f t="shared" si="12"/>
        <v>0</v>
      </c>
      <c r="AJ80" s="1583">
        <f t="shared" si="13"/>
        <v>1</v>
      </c>
      <c r="AK80" s="1581">
        <f t="shared" si="14"/>
        <v>0</v>
      </c>
      <c r="AL80" s="1584" t="e">
        <f t="shared" si="15"/>
        <v>#DIV/0!</v>
      </c>
      <c r="AM80" s="1188"/>
      <c r="AN80" s="1585">
        <f t="shared" si="16"/>
        <v>0</v>
      </c>
      <c r="AO80" s="1583">
        <f t="shared" si="17"/>
        <v>0</v>
      </c>
      <c r="AP80" s="1583">
        <f t="shared" si="18"/>
        <v>0</v>
      </c>
      <c r="AQ80" s="1583">
        <f t="shared" si="19"/>
        <v>0</v>
      </c>
      <c r="AR80" s="1586">
        <f t="shared" si="20"/>
        <v>0</v>
      </c>
      <c r="AT80" s="1587">
        <f t="shared" si="21"/>
        <v>0</v>
      </c>
      <c r="AU80" s="1583">
        <f t="shared" si="22"/>
        <v>0</v>
      </c>
      <c r="AV80" s="1583">
        <f t="shared" si="23"/>
        <v>0</v>
      </c>
      <c r="AW80" s="1583">
        <f t="shared" si="24"/>
        <v>0</v>
      </c>
      <c r="AX80" s="1583">
        <f t="shared" si="25"/>
        <v>0</v>
      </c>
      <c r="AY80" s="1588">
        <f t="shared" si="26"/>
        <v>0</v>
      </c>
      <c r="AZ80" s="1189"/>
      <c r="BA80" s="1587">
        <f t="shared" si="27"/>
        <v>0</v>
      </c>
      <c r="BB80" s="1583">
        <f t="shared" si="28"/>
        <v>0</v>
      </c>
      <c r="BC80" s="1583">
        <f t="shared" si="29"/>
        <v>0</v>
      </c>
      <c r="BD80" s="1583">
        <f t="shared" si="30"/>
        <v>0</v>
      </c>
      <c r="BE80" s="1588">
        <f t="shared" si="31"/>
        <v>0</v>
      </c>
      <c r="BG80" s="1581">
        <f t="shared" si="32"/>
        <v>43101</v>
      </c>
      <c r="BH80" s="1581">
        <f t="shared" si="33"/>
        <v>43101</v>
      </c>
      <c r="BI80" s="1581">
        <f t="shared" si="34"/>
        <v>43101</v>
      </c>
      <c r="BJ80" s="1581">
        <f t="shared" si="35"/>
        <v>0</v>
      </c>
      <c r="BL80" s="1585">
        <f t="shared" si="36"/>
        <v>0</v>
      </c>
      <c r="BM80" s="1581">
        <f t="shared" si="37"/>
        <v>0</v>
      </c>
      <c r="BN80" s="1581">
        <f t="shared" si="38"/>
        <v>0</v>
      </c>
      <c r="BO80" s="1589">
        <f t="shared" si="39"/>
        <v>0</v>
      </c>
      <c r="BP80" s="1514"/>
    </row>
    <row r="81" spans="1:68" ht="30" customHeight="1">
      <c r="A81" s="1577"/>
      <c r="B81" s="1577"/>
      <c r="C81" s="1603"/>
      <c r="D81" s="1578"/>
      <c r="E81" s="1863"/>
      <c r="F81" s="1864"/>
      <c r="G81" s="1865">
        <f t="shared" si="0"/>
        <v>0</v>
      </c>
      <c r="H81" s="1864"/>
      <c r="I81" s="1866"/>
      <c r="J81" s="1864"/>
      <c r="K81" s="1867">
        <f t="shared" si="1"/>
        <v>0</v>
      </c>
      <c r="L81" s="1864"/>
      <c r="M81" s="1866"/>
      <c r="N81" s="1863"/>
      <c r="O81" s="1864"/>
      <c r="P81" s="1867">
        <f t="shared" si="2"/>
        <v>0</v>
      </c>
      <c r="Q81" s="1864"/>
      <c r="R81" s="1866"/>
      <c r="S81" s="1863"/>
      <c r="T81" s="1864"/>
      <c r="U81" s="1867">
        <f t="shared" si="3"/>
        <v>0</v>
      </c>
      <c r="V81" s="1864"/>
      <c r="W81" s="1866"/>
      <c r="X81" s="1863"/>
      <c r="Y81" s="1864"/>
      <c r="Z81" s="1867">
        <f t="shared" si="4"/>
        <v>0</v>
      </c>
      <c r="AA81" s="1868">
        <f t="shared" si="5"/>
        <v>0</v>
      </c>
      <c r="AB81" s="1869" t="str">
        <f t="shared" si="6"/>
        <v/>
      </c>
      <c r="AC81" s="690"/>
      <c r="AD81" s="1580" t="str">
        <f t="shared" si="7"/>
        <v/>
      </c>
      <c r="AE81" s="1581">
        <f t="shared" si="8"/>
        <v>0</v>
      </c>
      <c r="AF81" s="1581">
        <f t="shared" si="9"/>
        <v>0</v>
      </c>
      <c r="AG81" s="1581">
        <f t="shared" si="10"/>
        <v>0</v>
      </c>
      <c r="AH81" s="1581">
        <f t="shared" si="11"/>
        <v>0</v>
      </c>
      <c r="AI81" s="1582">
        <f t="shared" si="12"/>
        <v>0</v>
      </c>
      <c r="AJ81" s="1583">
        <f t="shared" si="13"/>
        <v>1</v>
      </c>
      <c r="AK81" s="1581">
        <f t="shared" si="14"/>
        <v>0</v>
      </c>
      <c r="AL81" s="1584" t="e">
        <f t="shared" si="15"/>
        <v>#DIV/0!</v>
      </c>
      <c r="AM81" s="1188"/>
      <c r="AN81" s="1585">
        <f t="shared" si="16"/>
        <v>0</v>
      </c>
      <c r="AO81" s="1583">
        <f t="shared" si="17"/>
        <v>0</v>
      </c>
      <c r="AP81" s="1583">
        <f t="shared" si="18"/>
        <v>0</v>
      </c>
      <c r="AQ81" s="1583">
        <f t="shared" si="19"/>
        <v>0</v>
      </c>
      <c r="AR81" s="1586">
        <f t="shared" si="20"/>
        <v>0</v>
      </c>
      <c r="AT81" s="1587">
        <f t="shared" si="21"/>
        <v>0</v>
      </c>
      <c r="AU81" s="1583">
        <f t="shared" si="22"/>
        <v>0</v>
      </c>
      <c r="AV81" s="1583">
        <f t="shared" si="23"/>
        <v>0</v>
      </c>
      <c r="AW81" s="1583">
        <f t="shared" si="24"/>
        <v>0</v>
      </c>
      <c r="AX81" s="1583">
        <f t="shared" si="25"/>
        <v>0</v>
      </c>
      <c r="AY81" s="1588">
        <f t="shared" si="26"/>
        <v>0</v>
      </c>
      <c r="AZ81" s="1189"/>
      <c r="BA81" s="1587">
        <f t="shared" si="27"/>
        <v>0</v>
      </c>
      <c r="BB81" s="1583">
        <f t="shared" si="28"/>
        <v>0</v>
      </c>
      <c r="BC81" s="1583">
        <f t="shared" si="29"/>
        <v>0</v>
      </c>
      <c r="BD81" s="1583">
        <f t="shared" si="30"/>
        <v>0</v>
      </c>
      <c r="BE81" s="1588">
        <f t="shared" si="31"/>
        <v>0</v>
      </c>
      <c r="BG81" s="1581">
        <f t="shared" si="32"/>
        <v>43101</v>
      </c>
      <c r="BH81" s="1581">
        <f t="shared" si="33"/>
        <v>43101</v>
      </c>
      <c r="BI81" s="1581">
        <f t="shared" si="34"/>
        <v>43101</v>
      </c>
      <c r="BJ81" s="1581">
        <f t="shared" si="35"/>
        <v>0</v>
      </c>
      <c r="BL81" s="1585">
        <f t="shared" si="36"/>
        <v>0</v>
      </c>
      <c r="BM81" s="1581">
        <f t="shared" si="37"/>
        <v>0</v>
      </c>
      <c r="BN81" s="1581">
        <f t="shared" si="38"/>
        <v>0</v>
      </c>
      <c r="BO81" s="1589">
        <f t="shared" si="39"/>
        <v>0</v>
      </c>
      <c r="BP81" s="1514"/>
    </row>
    <row r="82" spans="1:68" ht="30" customHeight="1">
      <c r="A82" s="1577"/>
      <c r="B82" s="1577"/>
      <c r="C82" s="1603"/>
      <c r="D82" s="1578"/>
      <c r="E82" s="1863"/>
      <c r="F82" s="1864"/>
      <c r="G82" s="1865">
        <f t="shared" si="0"/>
        <v>0</v>
      </c>
      <c r="H82" s="1864"/>
      <c r="I82" s="1866"/>
      <c r="J82" s="1864"/>
      <c r="K82" s="1867">
        <f t="shared" si="1"/>
        <v>0</v>
      </c>
      <c r="L82" s="1864"/>
      <c r="M82" s="1866"/>
      <c r="N82" s="1863"/>
      <c r="O82" s="1864"/>
      <c r="P82" s="1867">
        <f t="shared" si="2"/>
        <v>0</v>
      </c>
      <c r="Q82" s="1864"/>
      <c r="R82" s="1866"/>
      <c r="S82" s="1863"/>
      <c r="T82" s="1864"/>
      <c r="U82" s="1867">
        <f t="shared" si="3"/>
        <v>0</v>
      </c>
      <c r="V82" s="1864"/>
      <c r="W82" s="1866"/>
      <c r="X82" s="1863"/>
      <c r="Y82" s="1864"/>
      <c r="Z82" s="1867">
        <f t="shared" si="4"/>
        <v>0</v>
      </c>
      <c r="AA82" s="1868">
        <f t="shared" si="5"/>
        <v>0</v>
      </c>
      <c r="AB82" s="1869" t="str">
        <f t="shared" si="6"/>
        <v/>
      </c>
      <c r="AC82" s="690"/>
      <c r="AD82" s="1580" t="str">
        <f t="shared" si="7"/>
        <v/>
      </c>
      <c r="AE82" s="1581">
        <f t="shared" si="8"/>
        <v>0</v>
      </c>
      <c r="AF82" s="1581">
        <f t="shared" si="9"/>
        <v>0</v>
      </c>
      <c r="AG82" s="1581">
        <f t="shared" si="10"/>
        <v>0</v>
      </c>
      <c r="AH82" s="1581">
        <f t="shared" si="11"/>
        <v>0</v>
      </c>
      <c r="AI82" s="1582">
        <f t="shared" si="12"/>
        <v>0</v>
      </c>
      <c r="AJ82" s="1583">
        <f t="shared" si="13"/>
        <v>1</v>
      </c>
      <c r="AK82" s="1581">
        <f t="shared" si="14"/>
        <v>0</v>
      </c>
      <c r="AL82" s="1584" t="e">
        <f t="shared" si="15"/>
        <v>#DIV/0!</v>
      </c>
      <c r="AM82" s="1188"/>
      <c r="AN82" s="1585">
        <f t="shared" si="16"/>
        <v>0</v>
      </c>
      <c r="AO82" s="1583">
        <f t="shared" si="17"/>
        <v>0</v>
      </c>
      <c r="AP82" s="1583">
        <f t="shared" si="18"/>
        <v>0</v>
      </c>
      <c r="AQ82" s="1583">
        <f t="shared" si="19"/>
        <v>0</v>
      </c>
      <c r="AR82" s="1586">
        <f t="shared" si="20"/>
        <v>0</v>
      </c>
      <c r="AT82" s="1587">
        <f t="shared" si="21"/>
        <v>0</v>
      </c>
      <c r="AU82" s="1583">
        <f t="shared" si="22"/>
        <v>0</v>
      </c>
      <c r="AV82" s="1583">
        <f t="shared" si="23"/>
        <v>0</v>
      </c>
      <c r="AW82" s="1583">
        <f t="shared" si="24"/>
        <v>0</v>
      </c>
      <c r="AX82" s="1583">
        <f t="shared" si="25"/>
        <v>0</v>
      </c>
      <c r="AY82" s="1588">
        <f t="shared" si="26"/>
        <v>0</v>
      </c>
      <c r="AZ82" s="1189"/>
      <c r="BA82" s="1587">
        <f t="shared" si="27"/>
        <v>0</v>
      </c>
      <c r="BB82" s="1583">
        <f t="shared" si="28"/>
        <v>0</v>
      </c>
      <c r="BC82" s="1583">
        <f t="shared" si="29"/>
        <v>0</v>
      </c>
      <c r="BD82" s="1583">
        <f t="shared" si="30"/>
        <v>0</v>
      </c>
      <c r="BE82" s="1588">
        <f t="shared" si="31"/>
        <v>0</v>
      </c>
      <c r="BG82" s="1581">
        <f t="shared" si="32"/>
        <v>43101</v>
      </c>
      <c r="BH82" s="1581">
        <f t="shared" si="33"/>
        <v>43101</v>
      </c>
      <c r="BI82" s="1581">
        <f t="shared" si="34"/>
        <v>43101</v>
      </c>
      <c r="BJ82" s="1581">
        <f t="shared" si="35"/>
        <v>0</v>
      </c>
      <c r="BL82" s="1585">
        <f t="shared" si="36"/>
        <v>0</v>
      </c>
      <c r="BM82" s="1581">
        <f t="shared" si="37"/>
        <v>0</v>
      </c>
      <c r="BN82" s="1581">
        <f t="shared" si="38"/>
        <v>0</v>
      </c>
      <c r="BO82" s="1589">
        <f t="shared" si="39"/>
        <v>0</v>
      </c>
      <c r="BP82" s="1514"/>
    </row>
    <row r="83" spans="1:68" ht="30" customHeight="1">
      <c r="A83" s="1577"/>
      <c r="B83" s="1577"/>
      <c r="C83" s="1603"/>
      <c r="D83" s="1578"/>
      <c r="E83" s="1863"/>
      <c r="F83" s="1864"/>
      <c r="G83" s="1865">
        <f t="shared" si="0"/>
        <v>0</v>
      </c>
      <c r="H83" s="1864"/>
      <c r="I83" s="1866"/>
      <c r="J83" s="1864"/>
      <c r="K83" s="1867">
        <f t="shared" si="1"/>
        <v>0</v>
      </c>
      <c r="L83" s="1864"/>
      <c r="M83" s="1866"/>
      <c r="N83" s="1863"/>
      <c r="O83" s="1864"/>
      <c r="P83" s="1867">
        <f t="shared" si="2"/>
        <v>0</v>
      </c>
      <c r="Q83" s="1864"/>
      <c r="R83" s="1866"/>
      <c r="S83" s="1863"/>
      <c r="T83" s="1864"/>
      <c r="U83" s="1867">
        <f t="shared" si="3"/>
        <v>0</v>
      </c>
      <c r="V83" s="1864"/>
      <c r="W83" s="1866"/>
      <c r="X83" s="1863"/>
      <c r="Y83" s="1864"/>
      <c r="Z83" s="1867">
        <f t="shared" si="4"/>
        <v>0</v>
      </c>
      <c r="AA83" s="1868">
        <f t="shared" si="5"/>
        <v>0</v>
      </c>
      <c r="AB83" s="1869" t="str">
        <f t="shared" si="6"/>
        <v/>
      </c>
      <c r="AC83" s="690"/>
      <c r="AD83" s="1580" t="str">
        <f t="shared" si="7"/>
        <v/>
      </c>
      <c r="AE83" s="1581">
        <f t="shared" si="8"/>
        <v>0</v>
      </c>
      <c r="AF83" s="1581">
        <f t="shared" si="9"/>
        <v>0</v>
      </c>
      <c r="AG83" s="1581">
        <f t="shared" si="10"/>
        <v>0</v>
      </c>
      <c r="AH83" s="1581">
        <f t="shared" si="11"/>
        <v>0</v>
      </c>
      <c r="AI83" s="1582">
        <f t="shared" si="12"/>
        <v>0</v>
      </c>
      <c r="AJ83" s="1583">
        <f t="shared" si="13"/>
        <v>1</v>
      </c>
      <c r="AK83" s="1581">
        <f t="shared" si="14"/>
        <v>0</v>
      </c>
      <c r="AL83" s="1584" t="e">
        <f t="shared" si="15"/>
        <v>#DIV/0!</v>
      </c>
      <c r="AM83" s="1188"/>
      <c r="AN83" s="1585">
        <f t="shared" si="16"/>
        <v>0</v>
      </c>
      <c r="AO83" s="1583">
        <f t="shared" si="17"/>
        <v>0</v>
      </c>
      <c r="AP83" s="1583">
        <f t="shared" si="18"/>
        <v>0</v>
      </c>
      <c r="AQ83" s="1583">
        <f t="shared" si="19"/>
        <v>0</v>
      </c>
      <c r="AR83" s="1586">
        <f t="shared" si="20"/>
        <v>0</v>
      </c>
      <c r="AT83" s="1587">
        <f t="shared" si="21"/>
        <v>0</v>
      </c>
      <c r="AU83" s="1583">
        <f t="shared" si="22"/>
        <v>0</v>
      </c>
      <c r="AV83" s="1583">
        <f t="shared" si="23"/>
        <v>0</v>
      </c>
      <c r="AW83" s="1583">
        <f t="shared" si="24"/>
        <v>0</v>
      </c>
      <c r="AX83" s="1583">
        <f t="shared" si="25"/>
        <v>0</v>
      </c>
      <c r="AY83" s="1588">
        <f t="shared" si="26"/>
        <v>0</v>
      </c>
      <c r="AZ83" s="1189"/>
      <c r="BA83" s="1587">
        <f t="shared" si="27"/>
        <v>0</v>
      </c>
      <c r="BB83" s="1583">
        <f t="shared" si="28"/>
        <v>0</v>
      </c>
      <c r="BC83" s="1583">
        <f t="shared" si="29"/>
        <v>0</v>
      </c>
      <c r="BD83" s="1583">
        <f t="shared" si="30"/>
        <v>0</v>
      </c>
      <c r="BE83" s="1588">
        <f t="shared" si="31"/>
        <v>0</v>
      </c>
      <c r="BG83" s="1581">
        <f t="shared" si="32"/>
        <v>43101</v>
      </c>
      <c r="BH83" s="1581">
        <f t="shared" si="33"/>
        <v>43101</v>
      </c>
      <c r="BI83" s="1581">
        <f t="shared" si="34"/>
        <v>43101</v>
      </c>
      <c r="BJ83" s="1581">
        <f t="shared" si="35"/>
        <v>0</v>
      </c>
      <c r="BL83" s="1585">
        <f t="shared" si="36"/>
        <v>0</v>
      </c>
      <c r="BM83" s="1581">
        <f t="shared" si="37"/>
        <v>0</v>
      </c>
      <c r="BN83" s="1581">
        <f t="shared" si="38"/>
        <v>0</v>
      </c>
      <c r="BO83" s="1589">
        <f t="shared" si="39"/>
        <v>0</v>
      </c>
      <c r="BP83" s="1514"/>
    </row>
    <row r="84" spans="1:68" ht="30" customHeight="1">
      <c r="A84" s="1577"/>
      <c r="B84" s="1577"/>
      <c r="C84" s="1603"/>
      <c r="D84" s="1578"/>
      <c r="E84" s="1863"/>
      <c r="F84" s="1864"/>
      <c r="G84" s="1865">
        <f t="shared" si="0"/>
        <v>0</v>
      </c>
      <c r="H84" s="1864"/>
      <c r="I84" s="1866"/>
      <c r="J84" s="1864"/>
      <c r="K84" s="1867">
        <f t="shared" si="1"/>
        <v>0</v>
      </c>
      <c r="L84" s="1864"/>
      <c r="M84" s="1866"/>
      <c r="N84" s="1863"/>
      <c r="O84" s="1864"/>
      <c r="P84" s="1867">
        <f t="shared" si="2"/>
        <v>0</v>
      </c>
      <c r="Q84" s="1864"/>
      <c r="R84" s="1866"/>
      <c r="S84" s="1863"/>
      <c r="T84" s="1864"/>
      <c r="U84" s="1867">
        <f t="shared" si="3"/>
        <v>0</v>
      </c>
      <c r="V84" s="1864"/>
      <c r="W84" s="1866"/>
      <c r="X84" s="1863"/>
      <c r="Y84" s="1864"/>
      <c r="Z84" s="1867">
        <f t="shared" si="4"/>
        <v>0</v>
      </c>
      <c r="AA84" s="1868">
        <f t="shared" si="5"/>
        <v>0</v>
      </c>
      <c r="AB84" s="1869" t="str">
        <f t="shared" si="6"/>
        <v/>
      </c>
      <c r="AC84" s="690"/>
      <c r="AD84" s="1580" t="str">
        <f t="shared" si="7"/>
        <v/>
      </c>
      <c r="AE84" s="1581">
        <f t="shared" si="8"/>
        <v>0</v>
      </c>
      <c r="AF84" s="1581">
        <f t="shared" si="9"/>
        <v>0</v>
      </c>
      <c r="AG84" s="1581">
        <f t="shared" si="10"/>
        <v>0</v>
      </c>
      <c r="AH84" s="1581">
        <f t="shared" si="11"/>
        <v>0</v>
      </c>
      <c r="AI84" s="1582">
        <f t="shared" si="12"/>
        <v>0</v>
      </c>
      <c r="AJ84" s="1583">
        <f t="shared" si="13"/>
        <v>1</v>
      </c>
      <c r="AK84" s="1581">
        <f t="shared" si="14"/>
        <v>0</v>
      </c>
      <c r="AL84" s="1584" t="e">
        <f t="shared" si="15"/>
        <v>#DIV/0!</v>
      </c>
      <c r="AM84" s="1188"/>
      <c r="AN84" s="1585">
        <f t="shared" si="16"/>
        <v>0</v>
      </c>
      <c r="AO84" s="1583">
        <f t="shared" si="17"/>
        <v>0</v>
      </c>
      <c r="AP84" s="1583">
        <f t="shared" si="18"/>
        <v>0</v>
      </c>
      <c r="AQ84" s="1583">
        <f t="shared" si="19"/>
        <v>0</v>
      </c>
      <c r="AR84" s="1586">
        <f t="shared" si="20"/>
        <v>0</v>
      </c>
      <c r="AT84" s="1587">
        <f t="shared" si="21"/>
        <v>0</v>
      </c>
      <c r="AU84" s="1583">
        <f t="shared" si="22"/>
        <v>0</v>
      </c>
      <c r="AV84" s="1583">
        <f t="shared" si="23"/>
        <v>0</v>
      </c>
      <c r="AW84" s="1583">
        <f t="shared" si="24"/>
        <v>0</v>
      </c>
      <c r="AX84" s="1583">
        <f t="shared" si="25"/>
        <v>0</v>
      </c>
      <c r="AY84" s="1588">
        <f t="shared" si="26"/>
        <v>0</v>
      </c>
      <c r="AZ84" s="1189"/>
      <c r="BA84" s="1587">
        <f t="shared" si="27"/>
        <v>0</v>
      </c>
      <c r="BB84" s="1583">
        <f t="shared" si="28"/>
        <v>0</v>
      </c>
      <c r="BC84" s="1583">
        <f t="shared" si="29"/>
        <v>0</v>
      </c>
      <c r="BD84" s="1583">
        <f t="shared" si="30"/>
        <v>0</v>
      </c>
      <c r="BE84" s="1588">
        <f t="shared" si="31"/>
        <v>0</v>
      </c>
      <c r="BG84" s="1581">
        <f t="shared" si="32"/>
        <v>43101</v>
      </c>
      <c r="BH84" s="1581">
        <f t="shared" si="33"/>
        <v>43101</v>
      </c>
      <c r="BI84" s="1581">
        <f t="shared" si="34"/>
        <v>43101</v>
      </c>
      <c r="BJ84" s="1581">
        <f t="shared" si="35"/>
        <v>0</v>
      </c>
      <c r="BL84" s="1585">
        <f t="shared" si="36"/>
        <v>0</v>
      </c>
      <c r="BM84" s="1581">
        <f t="shared" si="37"/>
        <v>0</v>
      </c>
      <c r="BN84" s="1581">
        <f t="shared" si="38"/>
        <v>0</v>
      </c>
      <c r="BO84" s="1589">
        <f t="shared" si="39"/>
        <v>0</v>
      </c>
      <c r="BP84" s="1514"/>
    </row>
    <row r="85" spans="1:68" ht="30" customHeight="1">
      <c r="A85" s="1577"/>
      <c r="B85" s="1577"/>
      <c r="C85" s="1603"/>
      <c r="D85" s="1578"/>
      <c r="E85" s="1863"/>
      <c r="F85" s="1864"/>
      <c r="G85" s="1865">
        <f t="shared" si="0"/>
        <v>0</v>
      </c>
      <c r="H85" s="1864"/>
      <c r="I85" s="1866"/>
      <c r="J85" s="1864"/>
      <c r="K85" s="1867">
        <f t="shared" si="1"/>
        <v>0</v>
      </c>
      <c r="L85" s="1864"/>
      <c r="M85" s="1866"/>
      <c r="N85" s="1863"/>
      <c r="O85" s="1864"/>
      <c r="P85" s="1867">
        <f t="shared" si="2"/>
        <v>0</v>
      </c>
      <c r="Q85" s="1864"/>
      <c r="R85" s="1866"/>
      <c r="S85" s="1863"/>
      <c r="T85" s="1864"/>
      <c r="U85" s="1867">
        <f t="shared" si="3"/>
        <v>0</v>
      </c>
      <c r="V85" s="1864"/>
      <c r="W85" s="1866"/>
      <c r="X85" s="1863"/>
      <c r="Y85" s="1864"/>
      <c r="Z85" s="1867">
        <f t="shared" si="4"/>
        <v>0</v>
      </c>
      <c r="AA85" s="1868">
        <f t="shared" si="5"/>
        <v>0</v>
      </c>
      <c r="AB85" s="1869" t="str">
        <f t="shared" si="6"/>
        <v/>
      </c>
      <c r="AC85" s="690"/>
      <c r="AD85" s="1580" t="str">
        <f t="shared" si="7"/>
        <v/>
      </c>
      <c r="AE85" s="1581">
        <f t="shared" si="8"/>
        <v>0</v>
      </c>
      <c r="AF85" s="1581">
        <f t="shared" si="9"/>
        <v>0</v>
      </c>
      <c r="AG85" s="1581">
        <f t="shared" si="10"/>
        <v>0</v>
      </c>
      <c r="AH85" s="1581">
        <f t="shared" si="11"/>
        <v>0</v>
      </c>
      <c r="AI85" s="1582">
        <f t="shared" si="12"/>
        <v>0</v>
      </c>
      <c r="AJ85" s="1583">
        <f t="shared" si="13"/>
        <v>1</v>
      </c>
      <c r="AK85" s="1581">
        <f t="shared" si="14"/>
        <v>0</v>
      </c>
      <c r="AL85" s="1584" t="e">
        <f t="shared" si="15"/>
        <v>#DIV/0!</v>
      </c>
      <c r="AM85" s="1188"/>
      <c r="AN85" s="1585">
        <f t="shared" si="16"/>
        <v>0</v>
      </c>
      <c r="AO85" s="1583">
        <f t="shared" si="17"/>
        <v>0</v>
      </c>
      <c r="AP85" s="1583">
        <f t="shared" si="18"/>
        <v>0</v>
      </c>
      <c r="AQ85" s="1583">
        <f t="shared" si="19"/>
        <v>0</v>
      </c>
      <c r="AR85" s="1586">
        <f t="shared" si="20"/>
        <v>0</v>
      </c>
      <c r="AT85" s="1587">
        <f t="shared" si="21"/>
        <v>0</v>
      </c>
      <c r="AU85" s="1583">
        <f t="shared" si="22"/>
        <v>0</v>
      </c>
      <c r="AV85" s="1583">
        <f t="shared" si="23"/>
        <v>0</v>
      </c>
      <c r="AW85" s="1583">
        <f t="shared" si="24"/>
        <v>0</v>
      </c>
      <c r="AX85" s="1583">
        <f t="shared" si="25"/>
        <v>0</v>
      </c>
      <c r="AY85" s="1588">
        <f t="shared" si="26"/>
        <v>0</v>
      </c>
      <c r="AZ85" s="1189"/>
      <c r="BA85" s="1587">
        <f t="shared" si="27"/>
        <v>0</v>
      </c>
      <c r="BB85" s="1583">
        <f t="shared" si="28"/>
        <v>0</v>
      </c>
      <c r="BC85" s="1583">
        <f t="shared" si="29"/>
        <v>0</v>
      </c>
      <c r="BD85" s="1583">
        <f t="shared" si="30"/>
        <v>0</v>
      </c>
      <c r="BE85" s="1588">
        <f t="shared" si="31"/>
        <v>0</v>
      </c>
      <c r="BG85" s="1581">
        <f t="shared" si="32"/>
        <v>43101</v>
      </c>
      <c r="BH85" s="1581">
        <f t="shared" si="33"/>
        <v>43101</v>
      </c>
      <c r="BI85" s="1581">
        <f t="shared" si="34"/>
        <v>43101</v>
      </c>
      <c r="BJ85" s="1581">
        <f t="shared" si="35"/>
        <v>0</v>
      </c>
      <c r="BL85" s="1585">
        <f t="shared" si="36"/>
        <v>0</v>
      </c>
      <c r="BM85" s="1581">
        <f t="shared" si="37"/>
        <v>0</v>
      </c>
      <c r="BN85" s="1581">
        <f t="shared" si="38"/>
        <v>0</v>
      </c>
      <c r="BO85" s="1589">
        <f t="shared" si="39"/>
        <v>0</v>
      </c>
      <c r="BP85" s="1514"/>
    </row>
    <row r="86" spans="1:68" ht="30" customHeight="1">
      <c r="A86" s="1577"/>
      <c r="B86" s="1577"/>
      <c r="C86" s="1603"/>
      <c r="D86" s="1578"/>
      <c r="E86" s="1863"/>
      <c r="F86" s="1864"/>
      <c r="G86" s="1865">
        <f t="shared" si="0"/>
        <v>0</v>
      </c>
      <c r="H86" s="1864"/>
      <c r="I86" s="1866"/>
      <c r="J86" s="1864"/>
      <c r="K86" s="1867">
        <f t="shared" si="1"/>
        <v>0</v>
      </c>
      <c r="L86" s="1864"/>
      <c r="M86" s="1866"/>
      <c r="N86" s="1863"/>
      <c r="O86" s="1864"/>
      <c r="P86" s="1867">
        <f t="shared" si="2"/>
        <v>0</v>
      </c>
      <c r="Q86" s="1864"/>
      <c r="R86" s="1866"/>
      <c r="S86" s="1863"/>
      <c r="T86" s="1864"/>
      <c r="U86" s="1867">
        <f t="shared" si="3"/>
        <v>0</v>
      </c>
      <c r="V86" s="1864"/>
      <c r="W86" s="1866"/>
      <c r="X86" s="1863"/>
      <c r="Y86" s="1864"/>
      <c r="Z86" s="1867">
        <f t="shared" si="4"/>
        <v>0</v>
      </c>
      <c r="AA86" s="1868">
        <f t="shared" si="5"/>
        <v>0</v>
      </c>
      <c r="AB86" s="1869" t="str">
        <f t="shared" si="6"/>
        <v/>
      </c>
      <c r="AC86" s="690"/>
      <c r="AD86" s="1580" t="str">
        <f t="shared" si="7"/>
        <v/>
      </c>
      <c r="AE86" s="1581">
        <f t="shared" si="8"/>
        <v>0</v>
      </c>
      <c r="AF86" s="1581">
        <f t="shared" si="9"/>
        <v>0</v>
      </c>
      <c r="AG86" s="1581">
        <f t="shared" si="10"/>
        <v>0</v>
      </c>
      <c r="AH86" s="1581">
        <f t="shared" si="11"/>
        <v>0</v>
      </c>
      <c r="AI86" s="1582">
        <f t="shared" si="12"/>
        <v>0</v>
      </c>
      <c r="AJ86" s="1583">
        <f t="shared" si="13"/>
        <v>1</v>
      </c>
      <c r="AK86" s="1581">
        <f t="shared" si="14"/>
        <v>0</v>
      </c>
      <c r="AL86" s="1584" t="e">
        <f t="shared" si="15"/>
        <v>#DIV/0!</v>
      </c>
      <c r="AM86" s="1188"/>
      <c r="AN86" s="1585">
        <f t="shared" si="16"/>
        <v>0</v>
      </c>
      <c r="AO86" s="1583">
        <f t="shared" si="17"/>
        <v>0</v>
      </c>
      <c r="AP86" s="1583">
        <f t="shared" si="18"/>
        <v>0</v>
      </c>
      <c r="AQ86" s="1583">
        <f t="shared" si="19"/>
        <v>0</v>
      </c>
      <c r="AR86" s="1586">
        <f t="shared" si="20"/>
        <v>0</v>
      </c>
      <c r="AT86" s="1587">
        <f t="shared" si="21"/>
        <v>0</v>
      </c>
      <c r="AU86" s="1583">
        <f t="shared" si="22"/>
        <v>0</v>
      </c>
      <c r="AV86" s="1583">
        <f t="shared" si="23"/>
        <v>0</v>
      </c>
      <c r="AW86" s="1583">
        <f t="shared" si="24"/>
        <v>0</v>
      </c>
      <c r="AX86" s="1583">
        <f t="shared" si="25"/>
        <v>0</v>
      </c>
      <c r="AY86" s="1588">
        <f t="shared" si="26"/>
        <v>0</v>
      </c>
      <c r="AZ86" s="1189"/>
      <c r="BA86" s="1587">
        <f t="shared" si="27"/>
        <v>0</v>
      </c>
      <c r="BB86" s="1583">
        <f t="shared" si="28"/>
        <v>0</v>
      </c>
      <c r="BC86" s="1583">
        <f t="shared" si="29"/>
        <v>0</v>
      </c>
      <c r="BD86" s="1583">
        <f t="shared" si="30"/>
        <v>0</v>
      </c>
      <c r="BE86" s="1588">
        <f t="shared" si="31"/>
        <v>0</v>
      </c>
      <c r="BG86" s="1581">
        <f t="shared" si="32"/>
        <v>43101</v>
      </c>
      <c r="BH86" s="1581">
        <f t="shared" si="33"/>
        <v>43101</v>
      </c>
      <c r="BI86" s="1581">
        <f t="shared" si="34"/>
        <v>43101</v>
      </c>
      <c r="BJ86" s="1581">
        <f t="shared" si="35"/>
        <v>0</v>
      </c>
      <c r="BL86" s="1585">
        <f t="shared" si="36"/>
        <v>0</v>
      </c>
      <c r="BM86" s="1581">
        <f t="shared" si="37"/>
        <v>0</v>
      </c>
      <c r="BN86" s="1581">
        <f t="shared" si="38"/>
        <v>0</v>
      </c>
      <c r="BO86" s="1589">
        <f t="shared" si="39"/>
        <v>0</v>
      </c>
      <c r="BP86" s="1514"/>
    </row>
    <row r="87" spans="1:68" ht="30" customHeight="1">
      <c r="A87" s="1577"/>
      <c r="B87" s="1577"/>
      <c r="C87" s="1603"/>
      <c r="D87" s="1578"/>
      <c r="E87" s="1863"/>
      <c r="F87" s="1864"/>
      <c r="G87" s="1865">
        <f t="shared" si="0"/>
        <v>0</v>
      </c>
      <c r="H87" s="1864"/>
      <c r="I87" s="1866"/>
      <c r="J87" s="1864"/>
      <c r="K87" s="1867">
        <f t="shared" si="1"/>
        <v>0</v>
      </c>
      <c r="L87" s="1864"/>
      <c r="M87" s="1866"/>
      <c r="N87" s="1863"/>
      <c r="O87" s="1864"/>
      <c r="P87" s="1867">
        <f t="shared" si="2"/>
        <v>0</v>
      </c>
      <c r="Q87" s="1864"/>
      <c r="R87" s="1866"/>
      <c r="S87" s="1863"/>
      <c r="T87" s="1864"/>
      <c r="U87" s="1867">
        <f t="shared" si="3"/>
        <v>0</v>
      </c>
      <c r="V87" s="1864"/>
      <c r="W87" s="1866"/>
      <c r="X87" s="1863"/>
      <c r="Y87" s="1864"/>
      <c r="Z87" s="1867">
        <f t="shared" si="4"/>
        <v>0</v>
      </c>
      <c r="AA87" s="1868">
        <f t="shared" si="5"/>
        <v>0</v>
      </c>
      <c r="AB87" s="1869" t="str">
        <f t="shared" si="6"/>
        <v/>
      </c>
      <c r="AC87" s="690"/>
      <c r="AD87" s="1580" t="str">
        <f t="shared" si="7"/>
        <v/>
      </c>
      <c r="AE87" s="1581">
        <f t="shared" si="8"/>
        <v>0</v>
      </c>
      <c r="AF87" s="1581">
        <f t="shared" si="9"/>
        <v>0</v>
      </c>
      <c r="AG87" s="1581">
        <f t="shared" si="10"/>
        <v>0</v>
      </c>
      <c r="AH87" s="1581">
        <f t="shared" si="11"/>
        <v>0</v>
      </c>
      <c r="AI87" s="1582">
        <f t="shared" si="12"/>
        <v>0</v>
      </c>
      <c r="AJ87" s="1583">
        <f t="shared" si="13"/>
        <v>1</v>
      </c>
      <c r="AK87" s="1581">
        <f t="shared" si="14"/>
        <v>0</v>
      </c>
      <c r="AL87" s="1584" t="e">
        <f t="shared" si="15"/>
        <v>#DIV/0!</v>
      </c>
      <c r="AM87" s="1188"/>
      <c r="AN87" s="1585">
        <f t="shared" si="16"/>
        <v>0</v>
      </c>
      <c r="AO87" s="1583">
        <f t="shared" si="17"/>
        <v>0</v>
      </c>
      <c r="AP87" s="1583">
        <f t="shared" si="18"/>
        <v>0</v>
      </c>
      <c r="AQ87" s="1583">
        <f t="shared" si="19"/>
        <v>0</v>
      </c>
      <c r="AR87" s="1586">
        <f t="shared" si="20"/>
        <v>0</v>
      </c>
      <c r="AT87" s="1587">
        <f t="shared" si="21"/>
        <v>0</v>
      </c>
      <c r="AU87" s="1583">
        <f t="shared" si="22"/>
        <v>0</v>
      </c>
      <c r="AV87" s="1583">
        <f t="shared" si="23"/>
        <v>0</v>
      </c>
      <c r="AW87" s="1583">
        <f t="shared" si="24"/>
        <v>0</v>
      </c>
      <c r="AX87" s="1583">
        <f t="shared" si="25"/>
        <v>0</v>
      </c>
      <c r="AY87" s="1588">
        <f t="shared" si="26"/>
        <v>0</v>
      </c>
      <c r="AZ87" s="1189"/>
      <c r="BA87" s="1587">
        <f t="shared" si="27"/>
        <v>0</v>
      </c>
      <c r="BB87" s="1583">
        <f t="shared" si="28"/>
        <v>0</v>
      </c>
      <c r="BC87" s="1583">
        <f t="shared" si="29"/>
        <v>0</v>
      </c>
      <c r="BD87" s="1583">
        <f t="shared" si="30"/>
        <v>0</v>
      </c>
      <c r="BE87" s="1588">
        <f t="shared" si="31"/>
        <v>0</v>
      </c>
      <c r="BG87" s="1581">
        <f t="shared" si="32"/>
        <v>43101</v>
      </c>
      <c r="BH87" s="1581">
        <f t="shared" si="33"/>
        <v>43101</v>
      </c>
      <c r="BI87" s="1581">
        <f t="shared" si="34"/>
        <v>43101</v>
      </c>
      <c r="BJ87" s="1581">
        <f t="shared" si="35"/>
        <v>0</v>
      </c>
      <c r="BL87" s="1585">
        <f t="shared" si="36"/>
        <v>0</v>
      </c>
      <c r="BM87" s="1581">
        <f t="shared" si="37"/>
        <v>0</v>
      </c>
      <c r="BN87" s="1581">
        <f t="shared" si="38"/>
        <v>0</v>
      </c>
      <c r="BO87" s="1589">
        <f t="shared" si="39"/>
        <v>0</v>
      </c>
      <c r="BP87" s="1514"/>
    </row>
    <row r="88" spans="1:68" ht="30" customHeight="1">
      <c r="A88" s="1577"/>
      <c r="B88" s="1577"/>
      <c r="C88" s="1603"/>
      <c r="D88" s="1578"/>
      <c r="E88" s="1863"/>
      <c r="F88" s="1864"/>
      <c r="G88" s="1865">
        <f t="shared" si="0"/>
        <v>0</v>
      </c>
      <c r="H88" s="1864"/>
      <c r="I88" s="1866"/>
      <c r="J88" s="1864"/>
      <c r="K88" s="1867">
        <f t="shared" si="1"/>
        <v>0</v>
      </c>
      <c r="L88" s="1864"/>
      <c r="M88" s="1866"/>
      <c r="N88" s="1863"/>
      <c r="O88" s="1864"/>
      <c r="P88" s="1867">
        <f t="shared" si="2"/>
        <v>0</v>
      </c>
      <c r="Q88" s="1864"/>
      <c r="R88" s="1866"/>
      <c r="S88" s="1863"/>
      <c r="T88" s="1864"/>
      <c r="U88" s="1867">
        <f t="shared" si="3"/>
        <v>0</v>
      </c>
      <c r="V88" s="1864"/>
      <c r="W88" s="1866"/>
      <c r="X88" s="1863"/>
      <c r="Y88" s="1864"/>
      <c r="Z88" s="1867">
        <f t="shared" si="4"/>
        <v>0</v>
      </c>
      <c r="AA88" s="1868">
        <f t="shared" si="5"/>
        <v>0</v>
      </c>
      <c r="AB88" s="1869" t="str">
        <f t="shared" si="6"/>
        <v/>
      </c>
      <c r="AC88" s="690"/>
      <c r="AD88" s="1580" t="str">
        <f t="shared" si="7"/>
        <v/>
      </c>
      <c r="AE88" s="1581">
        <f t="shared" si="8"/>
        <v>0</v>
      </c>
      <c r="AF88" s="1581">
        <f t="shared" si="9"/>
        <v>0</v>
      </c>
      <c r="AG88" s="1581">
        <f t="shared" si="10"/>
        <v>0</v>
      </c>
      <c r="AH88" s="1581">
        <f t="shared" si="11"/>
        <v>0</v>
      </c>
      <c r="AI88" s="1582">
        <f t="shared" si="12"/>
        <v>0</v>
      </c>
      <c r="AJ88" s="1583">
        <f t="shared" si="13"/>
        <v>1</v>
      </c>
      <c r="AK88" s="1581">
        <f t="shared" si="14"/>
        <v>0</v>
      </c>
      <c r="AL88" s="1584" t="e">
        <f t="shared" si="15"/>
        <v>#DIV/0!</v>
      </c>
      <c r="AM88" s="1188"/>
      <c r="AN88" s="1585">
        <f t="shared" si="16"/>
        <v>0</v>
      </c>
      <c r="AO88" s="1583">
        <f t="shared" si="17"/>
        <v>0</v>
      </c>
      <c r="AP88" s="1583">
        <f t="shared" si="18"/>
        <v>0</v>
      </c>
      <c r="AQ88" s="1583">
        <f t="shared" si="19"/>
        <v>0</v>
      </c>
      <c r="AR88" s="1586">
        <f t="shared" si="20"/>
        <v>0</v>
      </c>
      <c r="AT88" s="1587">
        <f t="shared" si="21"/>
        <v>0</v>
      </c>
      <c r="AU88" s="1583">
        <f t="shared" si="22"/>
        <v>0</v>
      </c>
      <c r="AV88" s="1583">
        <f t="shared" si="23"/>
        <v>0</v>
      </c>
      <c r="AW88" s="1583">
        <f t="shared" si="24"/>
        <v>0</v>
      </c>
      <c r="AX88" s="1583">
        <f t="shared" si="25"/>
        <v>0</v>
      </c>
      <c r="AY88" s="1588">
        <f t="shared" si="26"/>
        <v>0</v>
      </c>
      <c r="AZ88" s="1189"/>
      <c r="BA88" s="1587">
        <f t="shared" si="27"/>
        <v>0</v>
      </c>
      <c r="BB88" s="1583">
        <f t="shared" si="28"/>
        <v>0</v>
      </c>
      <c r="BC88" s="1583">
        <f t="shared" si="29"/>
        <v>0</v>
      </c>
      <c r="BD88" s="1583">
        <f t="shared" si="30"/>
        <v>0</v>
      </c>
      <c r="BE88" s="1588">
        <f t="shared" si="31"/>
        <v>0</v>
      </c>
      <c r="BG88" s="1581">
        <f t="shared" si="32"/>
        <v>43101</v>
      </c>
      <c r="BH88" s="1581">
        <f t="shared" si="33"/>
        <v>43101</v>
      </c>
      <c r="BI88" s="1581">
        <f t="shared" si="34"/>
        <v>43101</v>
      </c>
      <c r="BJ88" s="1581">
        <f t="shared" si="35"/>
        <v>0</v>
      </c>
      <c r="BL88" s="1585">
        <f t="shared" si="36"/>
        <v>0</v>
      </c>
      <c r="BM88" s="1581">
        <f t="shared" si="37"/>
        <v>0</v>
      </c>
      <c r="BN88" s="1581">
        <f t="shared" si="38"/>
        <v>0</v>
      </c>
      <c r="BO88" s="1589">
        <f t="shared" si="39"/>
        <v>0</v>
      </c>
      <c r="BP88" s="1514"/>
    </row>
    <row r="89" spans="1:68" ht="30" customHeight="1">
      <c r="A89" s="1577"/>
      <c r="B89" s="1577"/>
      <c r="C89" s="1603"/>
      <c r="D89" s="1578"/>
      <c r="E89" s="1863"/>
      <c r="F89" s="1864"/>
      <c r="G89" s="1865">
        <f t="shared" si="0"/>
        <v>0</v>
      </c>
      <c r="H89" s="1864"/>
      <c r="I89" s="1866"/>
      <c r="J89" s="1864"/>
      <c r="K89" s="1867">
        <f t="shared" si="1"/>
        <v>0</v>
      </c>
      <c r="L89" s="1864"/>
      <c r="M89" s="1866"/>
      <c r="N89" s="1863"/>
      <c r="O89" s="1864"/>
      <c r="P89" s="1867">
        <f t="shared" si="2"/>
        <v>0</v>
      </c>
      <c r="Q89" s="1864"/>
      <c r="R89" s="1866"/>
      <c r="S89" s="1863"/>
      <c r="T89" s="1864"/>
      <c r="U89" s="1867">
        <f t="shared" si="3"/>
        <v>0</v>
      </c>
      <c r="V89" s="1864"/>
      <c r="W89" s="1866"/>
      <c r="X89" s="1863"/>
      <c r="Y89" s="1864"/>
      <c r="Z89" s="1867">
        <f t="shared" si="4"/>
        <v>0</v>
      </c>
      <c r="AA89" s="1868">
        <f t="shared" si="5"/>
        <v>0</v>
      </c>
      <c r="AB89" s="1869" t="str">
        <f t="shared" si="6"/>
        <v/>
      </c>
      <c r="AC89" s="690"/>
      <c r="AD89" s="1580" t="str">
        <f t="shared" si="7"/>
        <v/>
      </c>
      <c r="AE89" s="1581">
        <f t="shared" si="8"/>
        <v>0</v>
      </c>
      <c r="AF89" s="1581">
        <f t="shared" si="9"/>
        <v>0</v>
      </c>
      <c r="AG89" s="1581">
        <f t="shared" si="10"/>
        <v>0</v>
      </c>
      <c r="AH89" s="1581">
        <f t="shared" si="11"/>
        <v>0</v>
      </c>
      <c r="AI89" s="1582">
        <f t="shared" si="12"/>
        <v>0</v>
      </c>
      <c r="AJ89" s="1583">
        <f t="shared" si="13"/>
        <v>1</v>
      </c>
      <c r="AK89" s="1581">
        <f t="shared" si="14"/>
        <v>0</v>
      </c>
      <c r="AL89" s="1584" t="e">
        <f t="shared" si="15"/>
        <v>#DIV/0!</v>
      </c>
      <c r="AM89" s="1188"/>
      <c r="AN89" s="1585">
        <f t="shared" si="16"/>
        <v>0</v>
      </c>
      <c r="AO89" s="1583">
        <f t="shared" si="17"/>
        <v>0</v>
      </c>
      <c r="AP89" s="1583">
        <f t="shared" si="18"/>
        <v>0</v>
      </c>
      <c r="AQ89" s="1583">
        <f t="shared" si="19"/>
        <v>0</v>
      </c>
      <c r="AR89" s="1586">
        <f t="shared" si="20"/>
        <v>0</v>
      </c>
      <c r="AT89" s="1587">
        <f t="shared" si="21"/>
        <v>0</v>
      </c>
      <c r="AU89" s="1583">
        <f t="shared" si="22"/>
        <v>0</v>
      </c>
      <c r="AV89" s="1583">
        <f t="shared" si="23"/>
        <v>0</v>
      </c>
      <c r="AW89" s="1583">
        <f t="shared" si="24"/>
        <v>0</v>
      </c>
      <c r="AX89" s="1583">
        <f t="shared" si="25"/>
        <v>0</v>
      </c>
      <c r="AY89" s="1588">
        <f t="shared" si="26"/>
        <v>0</v>
      </c>
      <c r="AZ89" s="1189"/>
      <c r="BA89" s="1587">
        <f t="shared" si="27"/>
        <v>0</v>
      </c>
      <c r="BB89" s="1583">
        <f t="shared" si="28"/>
        <v>0</v>
      </c>
      <c r="BC89" s="1583">
        <f t="shared" si="29"/>
        <v>0</v>
      </c>
      <c r="BD89" s="1583">
        <f t="shared" si="30"/>
        <v>0</v>
      </c>
      <c r="BE89" s="1588">
        <f t="shared" si="31"/>
        <v>0</v>
      </c>
      <c r="BG89" s="1581">
        <f t="shared" si="32"/>
        <v>43101</v>
      </c>
      <c r="BH89" s="1581">
        <f t="shared" si="33"/>
        <v>43101</v>
      </c>
      <c r="BI89" s="1581">
        <f t="shared" si="34"/>
        <v>43101</v>
      </c>
      <c r="BJ89" s="1581">
        <f t="shared" si="35"/>
        <v>0</v>
      </c>
      <c r="BL89" s="1585">
        <f t="shared" si="36"/>
        <v>0</v>
      </c>
      <c r="BM89" s="1581">
        <f t="shared" si="37"/>
        <v>0</v>
      </c>
      <c r="BN89" s="1581">
        <f t="shared" si="38"/>
        <v>0</v>
      </c>
      <c r="BO89" s="1589">
        <f t="shared" si="39"/>
        <v>0</v>
      </c>
      <c r="BP89" s="1514"/>
    </row>
    <row r="90" spans="1:68" ht="30" customHeight="1">
      <c r="A90" s="1577"/>
      <c r="B90" s="1577"/>
      <c r="C90" s="1603"/>
      <c r="D90" s="1578"/>
      <c r="E90" s="1863"/>
      <c r="F90" s="1864"/>
      <c r="G90" s="1865">
        <f t="shared" si="0"/>
        <v>0</v>
      </c>
      <c r="H90" s="1864"/>
      <c r="I90" s="1866"/>
      <c r="J90" s="1864"/>
      <c r="K90" s="1867">
        <f t="shared" si="1"/>
        <v>0</v>
      </c>
      <c r="L90" s="1864"/>
      <c r="M90" s="1866"/>
      <c r="N90" s="1863"/>
      <c r="O90" s="1864"/>
      <c r="P90" s="1867">
        <f t="shared" si="2"/>
        <v>0</v>
      </c>
      <c r="Q90" s="1864"/>
      <c r="R90" s="1866"/>
      <c r="S90" s="1863"/>
      <c r="T90" s="1864"/>
      <c r="U90" s="1867">
        <f t="shared" si="3"/>
        <v>0</v>
      </c>
      <c r="V90" s="1864"/>
      <c r="W90" s="1866"/>
      <c r="X90" s="1863"/>
      <c r="Y90" s="1864"/>
      <c r="Z90" s="1867">
        <f t="shared" si="4"/>
        <v>0</v>
      </c>
      <c r="AA90" s="1868">
        <f t="shared" si="5"/>
        <v>0</v>
      </c>
      <c r="AB90" s="1869" t="str">
        <f t="shared" si="6"/>
        <v/>
      </c>
      <c r="AC90" s="690"/>
      <c r="AD90" s="1580" t="str">
        <f t="shared" si="7"/>
        <v/>
      </c>
      <c r="AE90" s="1581">
        <f t="shared" si="8"/>
        <v>0</v>
      </c>
      <c r="AF90" s="1581">
        <f t="shared" si="9"/>
        <v>0</v>
      </c>
      <c r="AG90" s="1581">
        <f t="shared" si="10"/>
        <v>0</v>
      </c>
      <c r="AH90" s="1581">
        <f t="shared" si="11"/>
        <v>0</v>
      </c>
      <c r="AI90" s="1582">
        <f t="shared" si="12"/>
        <v>0</v>
      </c>
      <c r="AJ90" s="1583">
        <f t="shared" si="13"/>
        <v>1</v>
      </c>
      <c r="AK90" s="1581">
        <f t="shared" si="14"/>
        <v>0</v>
      </c>
      <c r="AL90" s="1584" t="e">
        <f t="shared" si="15"/>
        <v>#DIV/0!</v>
      </c>
      <c r="AM90" s="1188"/>
      <c r="AN90" s="1585">
        <f t="shared" si="16"/>
        <v>0</v>
      </c>
      <c r="AO90" s="1583">
        <f t="shared" si="17"/>
        <v>0</v>
      </c>
      <c r="AP90" s="1583">
        <f t="shared" si="18"/>
        <v>0</v>
      </c>
      <c r="AQ90" s="1583">
        <f t="shared" si="19"/>
        <v>0</v>
      </c>
      <c r="AR90" s="1586">
        <f t="shared" si="20"/>
        <v>0</v>
      </c>
      <c r="AT90" s="1587">
        <f t="shared" si="21"/>
        <v>0</v>
      </c>
      <c r="AU90" s="1583">
        <f t="shared" si="22"/>
        <v>0</v>
      </c>
      <c r="AV90" s="1583">
        <f t="shared" si="23"/>
        <v>0</v>
      </c>
      <c r="AW90" s="1583">
        <f t="shared" si="24"/>
        <v>0</v>
      </c>
      <c r="AX90" s="1583">
        <f t="shared" si="25"/>
        <v>0</v>
      </c>
      <c r="AY90" s="1588">
        <f t="shared" si="26"/>
        <v>0</v>
      </c>
      <c r="AZ90" s="1189"/>
      <c r="BA90" s="1587">
        <f t="shared" si="27"/>
        <v>0</v>
      </c>
      <c r="BB90" s="1583">
        <f t="shared" si="28"/>
        <v>0</v>
      </c>
      <c r="BC90" s="1583">
        <f t="shared" si="29"/>
        <v>0</v>
      </c>
      <c r="BD90" s="1583">
        <f t="shared" si="30"/>
        <v>0</v>
      </c>
      <c r="BE90" s="1588">
        <f t="shared" si="31"/>
        <v>0</v>
      </c>
      <c r="BG90" s="1581">
        <f t="shared" si="32"/>
        <v>43101</v>
      </c>
      <c r="BH90" s="1581">
        <f t="shared" si="33"/>
        <v>43101</v>
      </c>
      <c r="BI90" s="1581">
        <f t="shared" si="34"/>
        <v>43101</v>
      </c>
      <c r="BJ90" s="1581">
        <f t="shared" si="35"/>
        <v>0</v>
      </c>
      <c r="BL90" s="1585">
        <f t="shared" si="36"/>
        <v>0</v>
      </c>
      <c r="BM90" s="1581">
        <f t="shared" si="37"/>
        <v>0</v>
      </c>
      <c r="BN90" s="1581">
        <f t="shared" si="38"/>
        <v>0</v>
      </c>
      <c r="BO90" s="1589">
        <f t="shared" si="39"/>
        <v>0</v>
      </c>
      <c r="BP90" s="1514"/>
    </row>
    <row r="91" spans="1:68" ht="30" customHeight="1">
      <c r="A91" s="1577"/>
      <c r="B91" s="1577"/>
      <c r="C91" s="1603"/>
      <c r="D91" s="1578"/>
      <c r="E91" s="1863"/>
      <c r="F91" s="1864"/>
      <c r="G91" s="1865">
        <f t="shared" si="0"/>
        <v>0</v>
      </c>
      <c r="H91" s="1864"/>
      <c r="I91" s="1866"/>
      <c r="J91" s="1864"/>
      <c r="K91" s="1867">
        <f t="shared" si="1"/>
        <v>0</v>
      </c>
      <c r="L91" s="1864"/>
      <c r="M91" s="1866"/>
      <c r="N91" s="1863"/>
      <c r="O91" s="1864"/>
      <c r="P91" s="1867">
        <f t="shared" si="2"/>
        <v>0</v>
      </c>
      <c r="Q91" s="1864"/>
      <c r="R91" s="1866"/>
      <c r="S91" s="1863"/>
      <c r="T91" s="1864"/>
      <c r="U91" s="1867">
        <f t="shared" si="3"/>
        <v>0</v>
      </c>
      <c r="V91" s="1864"/>
      <c r="W91" s="1866"/>
      <c r="X91" s="1863"/>
      <c r="Y91" s="1864"/>
      <c r="Z91" s="1867">
        <f t="shared" si="4"/>
        <v>0</v>
      </c>
      <c r="AA91" s="1868">
        <f t="shared" si="5"/>
        <v>0</v>
      </c>
      <c r="AB91" s="1869" t="str">
        <f t="shared" si="6"/>
        <v/>
      </c>
      <c r="AC91" s="690"/>
      <c r="AD91" s="1580" t="str">
        <f t="shared" si="7"/>
        <v/>
      </c>
      <c r="AE91" s="1581">
        <f t="shared" si="8"/>
        <v>0</v>
      </c>
      <c r="AF91" s="1581">
        <f t="shared" si="9"/>
        <v>0</v>
      </c>
      <c r="AG91" s="1581">
        <f t="shared" si="10"/>
        <v>0</v>
      </c>
      <c r="AH91" s="1581">
        <f t="shared" si="11"/>
        <v>0</v>
      </c>
      <c r="AI91" s="1582">
        <f t="shared" si="12"/>
        <v>0</v>
      </c>
      <c r="AJ91" s="1583">
        <f t="shared" si="13"/>
        <v>1</v>
      </c>
      <c r="AK91" s="1581">
        <f t="shared" si="14"/>
        <v>0</v>
      </c>
      <c r="AL91" s="1584" t="e">
        <f t="shared" si="15"/>
        <v>#DIV/0!</v>
      </c>
      <c r="AM91" s="1188"/>
      <c r="AN91" s="1585">
        <f t="shared" si="16"/>
        <v>0</v>
      </c>
      <c r="AO91" s="1583">
        <f t="shared" si="17"/>
        <v>0</v>
      </c>
      <c r="AP91" s="1583">
        <f t="shared" si="18"/>
        <v>0</v>
      </c>
      <c r="AQ91" s="1583">
        <f t="shared" si="19"/>
        <v>0</v>
      </c>
      <c r="AR91" s="1586">
        <f t="shared" si="20"/>
        <v>0</v>
      </c>
      <c r="AT91" s="1587">
        <f t="shared" si="21"/>
        <v>0</v>
      </c>
      <c r="AU91" s="1583">
        <f t="shared" si="22"/>
        <v>0</v>
      </c>
      <c r="AV91" s="1583">
        <f t="shared" si="23"/>
        <v>0</v>
      </c>
      <c r="AW91" s="1583">
        <f t="shared" si="24"/>
        <v>0</v>
      </c>
      <c r="AX91" s="1583">
        <f t="shared" si="25"/>
        <v>0</v>
      </c>
      <c r="AY91" s="1588">
        <f t="shared" si="26"/>
        <v>0</v>
      </c>
      <c r="AZ91" s="1189"/>
      <c r="BA91" s="1587">
        <f t="shared" si="27"/>
        <v>0</v>
      </c>
      <c r="BB91" s="1583">
        <f t="shared" si="28"/>
        <v>0</v>
      </c>
      <c r="BC91" s="1583">
        <f t="shared" si="29"/>
        <v>0</v>
      </c>
      <c r="BD91" s="1583">
        <f t="shared" si="30"/>
        <v>0</v>
      </c>
      <c r="BE91" s="1588">
        <f t="shared" si="31"/>
        <v>0</v>
      </c>
      <c r="BG91" s="1581">
        <f t="shared" si="32"/>
        <v>43101</v>
      </c>
      <c r="BH91" s="1581">
        <f t="shared" si="33"/>
        <v>43101</v>
      </c>
      <c r="BI91" s="1581">
        <f t="shared" si="34"/>
        <v>43101</v>
      </c>
      <c r="BJ91" s="1581">
        <f t="shared" si="35"/>
        <v>0</v>
      </c>
      <c r="BL91" s="1585">
        <f t="shared" si="36"/>
        <v>0</v>
      </c>
      <c r="BM91" s="1581">
        <f t="shared" si="37"/>
        <v>0</v>
      </c>
      <c r="BN91" s="1581">
        <f t="shared" si="38"/>
        <v>0</v>
      </c>
      <c r="BO91" s="1589">
        <f t="shared" si="39"/>
        <v>0</v>
      </c>
      <c r="BP91" s="1514"/>
    </row>
    <row r="92" spans="1:68" ht="30" customHeight="1">
      <c r="A92" s="1577"/>
      <c r="B92" s="1577"/>
      <c r="C92" s="1603"/>
      <c r="D92" s="1578"/>
      <c r="E92" s="1863"/>
      <c r="F92" s="1864"/>
      <c r="G92" s="1865">
        <f t="shared" si="0"/>
        <v>0</v>
      </c>
      <c r="H92" s="1864"/>
      <c r="I92" s="1866"/>
      <c r="J92" s="1864"/>
      <c r="K92" s="1867">
        <f t="shared" si="1"/>
        <v>0</v>
      </c>
      <c r="L92" s="1864"/>
      <c r="M92" s="1866"/>
      <c r="N92" s="1863"/>
      <c r="O92" s="1864"/>
      <c r="P92" s="1867">
        <f t="shared" si="2"/>
        <v>0</v>
      </c>
      <c r="Q92" s="1864"/>
      <c r="R92" s="1866"/>
      <c r="S92" s="1863"/>
      <c r="T92" s="1864"/>
      <c r="U92" s="1867">
        <f t="shared" si="3"/>
        <v>0</v>
      </c>
      <c r="V92" s="1864"/>
      <c r="W92" s="1866"/>
      <c r="X92" s="1863"/>
      <c r="Y92" s="1864"/>
      <c r="Z92" s="1867">
        <f t="shared" si="4"/>
        <v>0</v>
      </c>
      <c r="AA92" s="1868">
        <f t="shared" si="5"/>
        <v>0</v>
      </c>
      <c r="AB92" s="1869" t="str">
        <f t="shared" si="6"/>
        <v/>
      </c>
      <c r="AC92" s="690"/>
      <c r="AD92" s="1580" t="str">
        <f t="shared" si="7"/>
        <v/>
      </c>
      <c r="AE92" s="1581">
        <f t="shared" si="8"/>
        <v>0</v>
      </c>
      <c r="AF92" s="1581">
        <f t="shared" si="9"/>
        <v>0</v>
      </c>
      <c r="AG92" s="1581">
        <f t="shared" si="10"/>
        <v>0</v>
      </c>
      <c r="AH92" s="1581">
        <f t="shared" si="11"/>
        <v>0</v>
      </c>
      <c r="AI92" s="1582">
        <f t="shared" si="12"/>
        <v>0</v>
      </c>
      <c r="AJ92" s="1583">
        <f t="shared" si="13"/>
        <v>1</v>
      </c>
      <c r="AK92" s="1581">
        <f t="shared" si="14"/>
        <v>0</v>
      </c>
      <c r="AL92" s="1584" t="e">
        <f t="shared" si="15"/>
        <v>#DIV/0!</v>
      </c>
      <c r="AM92" s="1188"/>
      <c r="AN92" s="1585">
        <f t="shared" si="16"/>
        <v>0</v>
      </c>
      <c r="AO92" s="1583">
        <f t="shared" si="17"/>
        <v>0</v>
      </c>
      <c r="AP92" s="1583">
        <f t="shared" si="18"/>
        <v>0</v>
      </c>
      <c r="AQ92" s="1583">
        <f t="shared" si="19"/>
        <v>0</v>
      </c>
      <c r="AR92" s="1586">
        <f t="shared" si="20"/>
        <v>0</v>
      </c>
      <c r="AT92" s="1587">
        <f t="shared" si="21"/>
        <v>0</v>
      </c>
      <c r="AU92" s="1583">
        <f t="shared" si="22"/>
        <v>0</v>
      </c>
      <c r="AV92" s="1583">
        <f t="shared" si="23"/>
        <v>0</v>
      </c>
      <c r="AW92" s="1583">
        <f t="shared" si="24"/>
        <v>0</v>
      </c>
      <c r="AX92" s="1583">
        <f t="shared" si="25"/>
        <v>0</v>
      </c>
      <c r="AY92" s="1588">
        <f t="shared" si="26"/>
        <v>0</v>
      </c>
      <c r="AZ92" s="1189"/>
      <c r="BA92" s="1587">
        <f t="shared" si="27"/>
        <v>0</v>
      </c>
      <c r="BB92" s="1583">
        <f t="shared" si="28"/>
        <v>0</v>
      </c>
      <c r="BC92" s="1583">
        <f t="shared" si="29"/>
        <v>0</v>
      </c>
      <c r="BD92" s="1583">
        <f t="shared" si="30"/>
        <v>0</v>
      </c>
      <c r="BE92" s="1588">
        <f t="shared" si="31"/>
        <v>0</v>
      </c>
      <c r="BG92" s="1581">
        <f t="shared" si="32"/>
        <v>43101</v>
      </c>
      <c r="BH92" s="1581">
        <f t="shared" si="33"/>
        <v>43101</v>
      </c>
      <c r="BI92" s="1581">
        <f t="shared" si="34"/>
        <v>43101</v>
      </c>
      <c r="BJ92" s="1581">
        <f t="shared" si="35"/>
        <v>0</v>
      </c>
      <c r="BL92" s="1585">
        <f t="shared" si="36"/>
        <v>0</v>
      </c>
      <c r="BM92" s="1581">
        <f t="shared" si="37"/>
        <v>0</v>
      </c>
      <c r="BN92" s="1581">
        <f t="shared" si="38"/>
        <v>0</v>
      </c>
      <c r="BO92" s="1589">
        <f t="shared" si="39"/>
        <v>0</v>
      </c>
      <c r="BP92" s="1514"/>
    </row>
    <row r="93" spans="1:68" ht="30" customHeight="1">
      <c r="A93" s="1577"/>
      <c r="B93" s="1577"/>
      <c r="C93" s="1603"/>
      <c r="D93" s="1578"/>
      <c r="E93" s="1863"/>
      <c r="F93" s="1864"/>
      <c r="G93" s="1865">
        <f t="shared" si="0"/>
        <v>0</v>
      </c>
      <c r="H93" s="1864"/>
      <c r="I93" s="1866"/>
      <c r="J93" s="1864"/>
      <c r="K93" s="1867">
        <f t="shared" si="1"/>
        <v>0</v>
      </c>
      <c r="L93" s="1864"/>
      <c r="M93" s="1866"/>
      <c r="N93" s="1863"/>
      <c r="O93" s="1864"/>
      <c r="P93" s="1867">
        <f t="shared" si="2"/>
        <v>0</v>
      </c>
      <c r="Q93" s="1864"/>
      <c r="R93" s="1866"/>
      <c r="S93" s="1863"/>
      <c r="T93" s="1864"/>
      <c r="U93" s="1867">
        <f t="shared" si="3"/>
        <v>0</v>
      </c>
      <c r="V93" s="1864"/>
      <c r="W93" s="1866"/>
      <c r="X93" s="1863"/>
      <c r="Y93" s="1864"/>
      <c r="Z93" s="1867">
        <f t="shared" si="4"/>
        <v>0</v>
      </c>
      <c r="AA93" s="1868">
        <f t="shared" si="5"/>
        <v>0</v>
      </c>
      <c r="AB93" s="1869" t="str">
        <f t="shared" si="6"/>
        <v/>
      </c>
      <c r="AC93" s="690"/>
      <c r="AD93" s="1580" t="str">
        <f t="shared" si="7"/>
        <v/>
      </c>
      <c r="AE93" s="1581">
        <f t="shared" si="8"/>
        <v>0</v>
      </c>
      <c r="AF93" s="1581">
        <f t="shared" si="9"/>
        <v>0</v>
      </c>
      <c r="AG93" s="1581">
        <f t="shared" si="10"/>
        <v>0</v>
      </c>
      <c r="AH93" s="1581">
        <f t="shared" si="11"/>
        <v>0</v>
      </c>
      <c r="AI93" s="1582">
        <f t="shared" si="12"/>
        <v>0</v>
      </c>
      <c r="AJ93" s="1583">
        <f t="shared" si="13"/>
        <v>1</v>
      </c>
      <c r="AK93" s="1581">
        <f t="shared" si="14"/>
        <v>0</v>
      </c>
      <c r="AL93" s="1584" t="e">
        <f t="shared" si="15"/>
        <v>#DIV/0!</v>
      </c>
      <c r="AM93" s="1188"/>
      <c r="AN93" s="1585">
        <f t="shared" si="16"/>
        <v>0</v>
      </c>
      <c r="AO93" s="1583">
        <f t="shared" si="17"/>
        <v>0</v>
      </c>
      <c r="AP93" s="1583">
        <f t="shared" si="18"/>
        <v>0</v>
      </c>
      <c r="AQ93" s="1583">
        <f t="shared" si="19"/>
        <v>0</v>
      </c>
      <c r="AR93" s="1586">
        <f t="shared" si="20"/>
        <v>0</v>
      </c>
      <c r="AT93" s="1587">
        <f t="shared" si="21"/>
        <v>0</v>
      </c>
      <c r="AU93" s="1583">
        <f t="shared" si="22"/>
        <v>0</v>
      </c>
      <c r="AV93" s="1583">
        <f t="shared" si="23"/>
        <v>0</v>
      </c>
      <c r="AW93" s="1583">
        <f t="shared" si="24"/>
        <v>0</v>
      </c>
      <c r="AX93" s="1583">
        <f t="shared" si="25"/>
        <v>0</v>
      </c>
      <c r="AY93" s="1588">
        <f t="shared" si="26"/>
        <v>0</v>
      </c>
      <c r="AZ93" s="1189"/>
      <c r="BA93" s="1587">
        <f t="shared" si="27"/>
        <v>0</v>
      </c>
      <c r="BB93" s="1583">
        <f t="shared" si="28"/>
        <v>0</v>
      </c>
      <c r="BC93" s="1583">
        <f t="shared" si="29"/>
        <v>0</v>
      </c>
      <c r="BD93" s="1583">
        <f t="shared" si="30"/>
        <v>0</v>
      </c>
      <c r="BE93" s="1588">
        <f t="shared" si="31"/>
        <v>0</v>
      </c>
      <c r="BG93" s="1581">
        <f t="shared" si="32"/>
        <v>43101</v>
      </c>
      <c r="BH93" s="1581">
        <f t="shared" si="33"/>
        <v>43101</v>
      </c>
      <c r="BI93" s="1581">
        <f t="shared" si="34"/>
        <v>43101</v>
      </c>
      <c r="BJ93" s="1581">
        <f t="shared" si="35"/>
        <v>0</v>
      </c>
      <c r="BL93" s="1585">
        <f t="shared" si="36"/>
        <v>0</v>
      </c>
      <c r="BM93" s="1581">
        <f t="shared" si="37"/>
        <v>0</v>
      </c>
      <c r="BN93" s="1581">
        <f t="shared" si="38"/>
        <v>0</v>
      </c>
      <c r="BO93" s="1589">
        <f t="shared" si="39"/>
        <v>0</v>
      </c>
      <c r="BP93" s="1514"/>
    </row>
    <row r="94" spans="1:68" ht="30" customHeight="1">
      <c r="A94" s="1577"/>
      <c r="B94" s="1577"/>
      <c r="C94" s="1603"/>
      <c r="D94" s="1578"/>
      <c r="E94" s="1863"/>
      <c r="F94" s="1864"/>
      <c r="G94" s="1865">
        <f t="shared" si="0"/>
        <v>0</v>
      </c>
      <c r="H94" s="1864"/>
      <c r="I94" s="1866"/>
      <c r="J94" s="1864"/>
      <c r="K94" s="1867">
        <f t="shared" si="1"/>
        <v>0</v>
      </c>
      <c r="L94" s="1864"/>
      <c r="M94" s="1866"/>
      <c r="N94" s="1863"/>
      <c r="O94" s="1864"/>
      <c r="P94" s="1867">
        <f t="shared" si="2"/>
        <v>0</v>
      </c>
      <c r="Q94" s="1864"/>
      <c r="R94" s="1866"/>
      <c r="S94" s="1863"/>
      <c r="T94" s="1864"/>
      <c r="U94" s="1867">
        <f t="shared" si="3"/>
        <v>0</v>
      </c>
      <c r="V94" s="1864"/>
      <c r="W94" s="1866"/>
      <c r="X94" s="1863"/>
      <c r="Y94" s="1864"/>
      <c r="Z94" s="1867">
        <f t="shared" si="4"/>
        <v>0</v>
      </c>
      <c r="AA94" s="1868">
        <f t="shared" si="5"/>
        <v>0</v>
      </c>
      <c r="AB94" s="1869" t="str">
        <f t="shared" si="6"/>
        <v/>
      </c>
      <c r="AC94" s="690"/>
      <c r="AD94" s="1580" t="str">
        <f t="shared" si="7"/>
        <v/>
      </c>
      <c r="AE94" s="1581">
        <f t="shared" si="8"/>
        <v>0</v>
      </c>
      <c r="AF94" s="1581">
        <f t="shared" si="9"/>
        <v>0</v>
      </c>
      <c r="AG94" s="1581">
        <f t="shared" si="10"/>
        <v>0</v>
      </c>
      <c r="AH94" s="1581">
        <f t="shared" si="11"/>
        <v>0</v>
      </c>
      <c r="AI94" s="1582">
        <f t="shared" si="12"/>
        <v>0</v>
      </c>
      <c r="AJ94" s="1583">
        <f t="shared" si="13"/>
        <v>1</v>
      </c>
      <c r="AK94" s="1581">
        <f t="shared" si="14"/>
        <v>0</v>
      </c>
      <c r="AL94" s="1584" t="e">
        <f t="shared" si="15"/>
        <v>#DIV/0!</v>
      </c>
      <c r="AM94" s="1188"/>
      <c r="AN94" s="1585">
        <f t="shared" si="16"/>
        <v>0</v>
      </c>
      <c r="AO94" s="1583">
        <f t="shared" si="17"/>
        <v>0</v>
      </c>
      <c r="AP94" s="1583">
        <f t="shared" si="18"/>
        <v>0</v>
      </c>
      <c r="AQ94" s="1583">
        <f t="shared" si="19"/>
        <v>0</v>
      </c>
      <c r="AR94" s="1586">
        <f t="shared" si="20"/>
        <v>0</v>
      </c>
      <c r="AT94" s="1587">
        <f t="shared" si="21"/>
        <v>0</v>
      </c>
      <c r="AU94" s="1583">
        <f t="shared" si="22"/>
        <v>0</v>
      </c>
      <c r="AV94" s="1583">
        <f t="shared" si="23"/>
        <v>0</v>
      </c>
      <c r="AW94" s="1583">
        <f t="shared" si="24"/>
        <v>0</v>
      </c>
      <c r="AX94" s="1583">
        <f t="shared" si="25"/>
        <v>0</v>
      </c>
      <c r="AY94" s="1588">
        <f t="shared" si="26"/>
        <v>0</v>
      </c>
      <c r="AZ94" s="1189"/>
      <c r="BA94" s="1587">
        <f t="shared" si="27"/>
        <v>0</v>
      </c>
      <c r="BB94" s="1583">
        <f t="shared" si="28"/>
        <v>0</v>
      </c>
      <c r="BC94" s="1583">
        <f t="shared" si="29"/>
        <v>0</v>
      </c>
      <c r="BD94" s="1583">
        <f t="shared" si="30"/>
        <v>0</v>
      </c>
      <c r="BE94" s="1588">
        <f t="shared" si="31"/>
        <v>0</v>
      </c>
      <c r="BG94" s="1581">
        <f t="shared" si="32"/>
        <v>43101</v>
      </c>
      <c r="BH94" s="1581">
        <f t="shared" si="33"/>
        <v>43101</v>
      </c>
      <c r="BI94" s="1581">
        <f t="shared" si="34"/>
        <v>43101</v>
      </c>
      <c r="BJ94" s="1581">
        <f t="shared" si="35"/>
        <v>0</v>
      </c>
      <c r="BL94" s="1585">
        <f t="shared" si="36"/>
        <v>0</v>
      </c>
      <c r="BM94" s="1581">
        <f t="shared" si="37"/>
        <v>0</v>
      </c>
      <c r="BN94" s="1581">
        <f t="shared" si="38"/>
        <v>0</v>
      </c>
      <c r="BO94" s="1589">
        <f t="shared" si="39"/>
        <v>0</v>
      </c>
      <c r="BP94" s="1514"/>
    </row>
    <row r="95" spans="1:68" ht="30" customHeight="1">
      <c r="A95" s="1577"/>
      <c r="B95" s="1577"/>
      <c r="C95" s="1603"/>
      <c r="D95" s="1578"/>
      <c r="E95" s="1863"/>
      <c r="F95" s="1864"/>
      <c r="G95" s="1865">
        <f t="shared" si="0"/>
        <v>0</v>
      </c>
      <c r="H95" s="1864"/>
      <c r="I95" s="1866"/>
      <c r="J95" s="1864"/>
      <c r="K95" s="1867">
        <f t="shared" si="1"/>
        <v>0</v>
      </c>
      <c r="L95" s="1864"/>
      <c r="M95" s="1866"/>
      <c r="N95" s="1863"/>
      <c r="O95" s="1864"/>
      <c r="P95" s="1867">
        <f t="shared" si="2"/>
        <v>0</v>
      </c>
      <c r="Q95" s="1864"/>
      <c r="R95" s="1866"/>
      <c r="S95" s="1863"/>
      <c r="T95" s="1864"/>
      <c r="U95" s="1867">
        <f t="shared" si="3"/>
        <v>0</v>
      </c>
      <c r="V95" s="1864"/>
      <c r="W95" s="1866"/>
      <c r="X95" s="1863"/>
      <c r="Y95" s="1864"/>
      <c r="Z95" s="1867">
        <f t="shared" si="4"/>
        <v>0</v>
      </c>
      <c r="AA95" s="1868">
        <f t="shared" si="5"/>
        <v>0</v>
      </c>
      <c r="AB95" s="1869" t="str">
        <f t="shared" si="6"/>
        <v/>
      </c>
      <c r="AC95" s="690"/>
      <c r="AD95" s="1580" t="str">
        <f t="shared" si="7"/>
        <v/>
      </c>
      <c r="AE95" s="1581">
        <f t="shared" si="8"/>
        <v>0</v>
      </c>
      <c r="AF95" s="1581">
        <f t="shared" si="9"/>
        <v>0</v>
      </c>
      <c r="AG95" s="1581">
        <f t="shared" si="10"/>
        <v>0</v>
      </c>
      <c r="AH95" s="1581">
        <f t="shared" si="11"/>
        <v>0</v>
      </c>
      <c r="AI95" s="1582">
        <f t="shared" si="12"/>
        <v>0</v>
      </c>
      <c r="AJ95" s="1583">
        <f t="shared" si="13"/>
        <v>1</v>
      </c>
      <c r="AK95" s="1581">
        <f t="shared" si="14"/>
        <v>0</v>
      </c>
      <c r="AL95" s="1584" t="e">
        <f t="shared" si="15"/>
        <v>#DIV/0!</v>
      </c>
      <c r="AM95" s="1188"/>
      <c r="AN95" s="1585">
        <f t="shared" si="16"/>
        <v>0</v>
      </c>
      <c r="AO95" s="1583">
        <f t="shared" si="17"/>
        <v>0</v>
      </c>
      <c r="AP95" s="1583">
        <f t="shared" si="18"/>
        <v>0</v>
      </c>
      <c r="AQ95" s="1583">
        <f t="shared" si="19"/>
        <v>0</v>
      </c>
      <c r="AR95" s="1586">
        <f t="shared" si="20"/>
        <v>0</v>
      </c>
      <c r="AT95" s="1587">
        <f t="shared" si="21"/>
        <v>0</v>
      </c>
      <c r="AU95" s="1583">
        <f t="shared" si="22"/>
        <v>0</v>
      </c>
      <c r="AV95" s="1583">
        <f t="shared" si="23"/>
        <v>0</v>
      </c>
      <c r="AW95" s="1583">
        <f t="shared" si="24"/>
        <v>0</v>
      </c>
      <c r="AX95" s="1583">
        <f t="shared" si="25"/>
        <v>0</v>
      </c>
      <c r="AY95" s="1588">
        <f t="shared" si="26"/>
        <v>0</v>
      </c>
      <c r="AZ95" s="1189"/>
      <c r="BA95" s="1587">
        <f t="shared" si="27"/>
        <v>0</v>
      </c>
      <c r="BB95" s="1583">
        <f t="shared" si="28"/>
        <v>0</v>
      </c>
      <c r="BC95" s="1583">
        <f t="shared" si="29"/>
        <v>0</v>
      </c>
      <c r="BD95" s="1583">
        <f t="shared" si="30"/>
        <v>0</v>
      </c>
      <c r="BE95" s="1588">
        <f t="shared" si="31"/>
        <v>0</v>
      </c>
      <c r="BG95" s="1581">
        <f t="shared" si="32"/>
        <v>43101</v>
      </c>
      <c r="BH95" s="1581">
        <f t="shared" si="33"/>
        <v>43101</v>
      </c>
      <c r="BI95" s="1581">
        <f t="shared" si="34"/>
        <v>43101</v>
      </c>
      <c r="BJ95" s="1581">
        <f t="shared" si="35"/>
        <v>0</v>
      </c>
      <c r="BL95" s="1585">
        <f t="shared" si="36"/>
        <v>0</v>
      </c>
      <c r="BM95" s="1581">
        <f t="shared" si="37"/>
        <v>0</v>
      </c>
      <c r="BN95" s="1581">
        <f t="shared" si="38"/>
        <v>0</v>
      </c>
      <c r="BO95" s="1589">
        <f t="shared" si="39"/>
        <v>0</v>
      </c>
      <c r="BP95" s="1514"/>
    </row>
    <row r="96" spans="1:68" ht="30" customHeight="1">
      <c r="A96" s="1577"/>
      <c r="B96" s="1577"/>
      <c r="C96" s="1603"/>
      <c r="D96" s="1578"/>
      <c r="E96" s="1863"/>
      <c r="F96" s="1864"/>
      <c r="G96" s="1865">
        <f t="shared" si="0"/>
        <v>0</v>
      </c>
      <c r="H96" s="1864"/>
      <c r="I96" s="1866"/>
      <c r="J96" s="1864"/>
      <c r="K96" s="1867">
        <f t="shared" si="1"/>
        <v>0</v>
      </c>
      <c r="L96" s="1864"/>
      <c r="M96" s="1866"/>
      <c r="N96" s="1863"/>
      <c r="O96" s="1864"/>
      <c r="P96" s="1867">
        <f t="shared" si="2"/>
        <v>0</v>
      </c>
      <c r="Q96" s="1864"/>
      <c r="R96" s="1866"/>
      <c r="S96" s="1863"/>
      <c r="T96" s="1864"/>
      <c r="U96" s="1867">
        <f t="shared" si="3"/>
        <v>0</v>
      </c>
      <c r="V96" s="1864"/>
      <c r="W96" s="1866"/>
      <c r="X96" s="1863"/>
      <c r="Y96" s="1864"/>
      <c r="Z96" s="1867">
        <f t="shared" si="4"/>
        <v>0</v>
      </c>
      <c r="AA96" s="1868">
        <f t="shared" si="5"/>
        <v>0</v>
      </c>
      <c r="AB96" s="1869" t="str">
        <f t="shared" si="6"/>
        <v/>
      </c>
      <c r="AC96" s="690"/>
      <c r="AD96" s="1580" t="str">
        <f t="shared" si="7"/>
        <v/>
      </c>
      <c r="AE96" s="1581">
        <f t="shared" si="8"/>
        <v>0</v>
      </c>
      <c r="AF96" s="1581">
        <f t="shared" si="9"/>
        <v>0</v>
      </c>
      <c r="AG96" s="1581">
        <f t="shared" si="10"/>
        <v>0</v>
      </c>
      <c r="AH96" s="1581">
        <f t="shared" si="11"/>
        <v>0</v>
      </c>
      <c r="AI96" s="1582">
        <f t="shared" si="12"/>
        <v>0</v>
      </c>
      <c r="AJ96" s="1583">
        <f t="shared" si="13"/>
        <v>1</v>
      </c>
      <c r="AK96" s="1581">
        <f t="shared" si="14"/>
        <v>0</v>
      </c>
      <c r="AL96" s="1584" t="e">
        <f t="shared" si="15"/>
        <v>#DIV/0!</v>
      </c>
      <c r="AM96" s="1188"/>
      <c r="AN96" s="1585">
        <f t="shared" si="16"/>
        <v>0</v>
      </c>
      <c r="AO96" s="1583">
        <f t="shared" si="17"/>
        <v>0</v>
      </c>
      <c r="AP96" s="1583">
        <f t="shared" si="18"/>
        <v>0</v>
      </c>
      <c r="AQ96" s="1583">
        <f t="shared" si="19"/>
        <v>0</v>
      </c>
      <c r="AR96" s="1586">
        <f t="shared" si="20"/>
        <v>0</v>
      </c>
      <c r="AT96" s="1587">
        <f t="shared" si="21"/>
        <v>0</v>
      </c>
      <c r="AU96" s="1583">
        <f t="shared" si="22"/>
        <v>0</v>
      </c>
      <c r="AV96" s="1583">
        <f t="shared" si="23"/>
        <v>0</v>
      </c>
      <c r="AW96" s="1583">
        <f t="shared" si="24"/>
        <v>0</v>
      </c>
      <c r="AX96" s="1583">
        <f t="shared" si="25"/>
        <v>0</v>
      </c>
      <c r="AY96" s="1588">
        <f t="shared" si="26"/>
        <v>0</v>
      </c>
      <c r="AZ96" s="1189"/>
      <c r="BA96" s="1587">
        <f t="shared" si="27"/>
        <v>0</v>
      </c>
      <c r="BB96" s="1583">
        <f t="shared" si="28"/>
        <v>0</v>
      </c>
      <c r="BC96" s="1583">
        <f t="shared" si="29"/>
        <v>0</v>
      </c>
      <c r="BD96" s="1583">
        <f t="shared" si="30"/>
        <v>0</v>
      </c>
      <c r="BE96" s="1588">
        <f t="shared" si="31"/>
        <v>0</v>
      </c>
      <c r="BG96" s="1581">
        <f t="shared" si="32"/>
        <v>43101</v>
      </c>
      <c r="BH96" s="1581">
        <f t="shared" si="33"/>
        <v>43101</v>
      </c>
      <c r="BI96" s="1581">
        <f t="shared" si="34"/>
        <v>43101</v>
      </c>
      <c r="BJ96" s="1581">
        <f t="shared" si="35"/>
        <v>0</v>
      </c>
      <c r="BL96" s="1585">
        <f t="shared" si="36"/>
        <v>0</v>
      </c>
      <c r="BM96" s="1581">
        <f t="shared" si="37"/>
        <v>0</v>
      </c>
      <c r="BN96" s="1581">
        <f t="shared" si="38"/>
        <v>0</v>
      </c>
      <c r="BO96" s="1589">
        <f t="shared" si="39"/>
        <v>0</v>
      </c>
      <c r="BP96" s="1514"/>
    </row>
    <row r="97" spans="1:68" ht="30" customHeight="1">
      <c r="A97" s="1577"/>
      <c r="B97" s="1577"/>
      <c r="C97" s="1603"/>
      <c r="D97" s="1578"/>
      <c r="E97" s="1863"/>
      <c r="F97" s="1864"/>
      <c r="G97" s="1865">
        <f t="shared" si="0"/>
        <v>0</v>
      </c>
      <c r="H97" s="1864"/>
      <c r="I97" s="1866"/>
      <c r="J97" s="1864"/>
      <c r="K97" s="1867">
        <f t="shared" si="1"/>
        <v>0</v>
      </c>
      <c r="L97" s="1864"/>
      <c r="M97" s="1866"/>
      <c r="N97" s="1863"/>
      <c r="O97" s="1864"/>
      <c r="P97" s="1867">
        <f t="shared" si="2"/>
        <v>0</v>
      </c>
      <c r="Q97" s="1864"/>
      <c r="R97" s="1866"/>
      <c r="S97" s="1863"/>
      <c r="T97" s="1864"/>
      <c r="U97" s="1867">
        <f t="shared" si="3"/>
        <v>0</v>
      </c>
      <c r="V97" s="1864"/>
      <c r="W97" s="1866"/>
      <c r="X97" s="1863"/>
      <c r="Y97" s="1864"/>
      <c r="Z97" s="1867">
        <f t="shared" si="4"/>
        <v>0</v>
      </c>
      <c r="AA97" s="1868">
        <f t="shared" si="5"/>
        <v>0</v>
      </c>
      <c r="AB97" s="1869" t="str">
        <f t="shared" si="6"/>
        <v/>
      </c>
      <c r="AC97" s="690"/>
      <c r="AD97" s="1580" t="str">
        <f t="shared" si="7"/>
        <v/>
      </c>
      <c r="AE97" s="1581">
        <f t="shared" si="8"/>
        <v>0</v>
      </c>
      <c r="AF97" s="1581">
        <f t="shared" si="9"/>
        <v>0</v>
      </c>
      <c r="AG97" s="1581">
        <f t="shared" si="10"/>
        <v>0</v>
      </c>
      <c r="AH97" s="1581">
        <f t="shared" si="11"/>
        <v>0</v>
      </c>
      <c r="AI97" s="1582">
        <f t="shared" si="12"/>
        <v>0</v>
      </c>
      <c r="AJ97" s="1583">
        <f t="shared" si="13"/>
        <v>1</v>
      </c>
      <c r="AK97" s="1581">
        <f t="shared" si="14"/>
        <v>0</v>
      </c>
      <c r="AL97" s="1584" t="e">
        <f t="shared" si="15"/>
        <v>#DIV/0!</v>
      </c>
      <c r="AM97" s="1188"/>
      <c r="AN97" s="1585">
        <f t="shared" si="16"/>
        <v>0</v>
      </c>
      <c r="AO97" s="1583">
        <f t="shared" si="17"/>
        <v>0</v>
      </c>
      <c r="AP97" s="1583">
        <f t="shared" si="18"/>
        <v>0</v>
      </c>
      <c r="AQ97" s="1583">
        <f t="shared" si="19"/>
        <v>0</v>
      </c>
      <c r="AR97" s="1586">
        <f t="shared" si="20"/>
        <v>0</v>
      </c>
      <c r="AT97" s="1587">
        <f t="shared" si="21"/>
        <v>0</v>
      </c>
      <c r="AU97" s="1583">
        <f t="shared" si="22"/>
        <v>0</v>
      </c>
      <c r="AV97" s="1583">
        <f t="shared" si="23"/>
        <v>0</v>
      </c>
      <c r="AW97" s="1583">
        <f t="shared" si="24"/>
        <v>0</v>
      </c>
      <c r="AX97" s="1583">
        <f t="shared" si="25"/>
        <v>0</v>
      </c>
      <c r="AY97" s="1588">
        <f t="shared" si="26"/>
        <v>0</v>
      </c>
      <c r="AZ97" s="1189"/>
      <c r="BA97" s="1587">
        <f t="shared" si="27"/>
        <v>0</v>
      </c>
      <c r="BB97" s="1583">
        <f t="shared" si="28"/>
        <v>0</v>
      </c>
      <c r="BC97" s="1583">
        <f t="shared" si="29"/>
        <v>0</v>
      </c>
      <c r="BD97" s="1583">
        <f t="shared" si="30"/>
        <v>0</v>
      </c>
      <c r="BE97" s="1588">
        <f t="shared" si="31"/>
        <v>0</v>
      </c>
      <c r="BG97" s="1581">
        <f t="shared" si="32"/>
        <v>43101</v>
      </c>
      <c r="BH97" s="1581">
        <f t="shared" si="33"/>
        <v>43101</v>
      </c>
      <c r="BI97" s="1581">
        <f t="shared" si="34"/>
        <v>43101</v>
      </c>
      <c r="BJ97" s="1581">
        <f t="shared" si="35"/>
        <v>0</v>
      </c>
      <c r="BL97" s="1585">
        <f t="shared" si="36"/>
        <v>0</v>
      </c>
      <c r="BM97" s="1581">
        <f t="shared" si="37"/>
        <v>0</v>
      </c>
      <c r="BN97" s="1581">
        <f t="shared" si="38"/>
        <v>0</v>
      </c>
      <c r="BO97" s="1589">
        <f t="shared" si="39"/>
        <v>0</v>
      </c>
      <c r="BP97" s="1514"/>
    </row>
    <row r="98" spans="1:68" ht="30" customHeight="1">
      <c r="A98" s="1577"/>
      <c r="B98" s="1577"/>
      <c r="C98" s="1603"/>
      <c r="D98" s="1578"/>
      <c r="E98" s="1863"/>
      <c r="F98" s="1864"/>
      <c r="G98" s="1865">
        <f t="shared" si="0"/>
        <v>0</v>
      </c>
      <c r="H98" s="1864"/>
      <c r="I98" s="1866"/>
      <c r="J98" s="1864"/>
      <c r="K98" s="1867">
        <f t="shared" si="1"/>
        <v>0</v>
      </c>
      <c r="L98" s="1864"/>
      <c r="M98" s="1866"/>
      <c r="N98" s="1863"/>
      <c r="O98" s="1864"/>
      <c r="P98" s="1867">
        <f t="shared" si="2"/>
        <v>0</v>
      </c>
      <c r="Q98" s="1864"/>
      <c r="R98" s="1866"/>
      <c r="S98" s="1863"/>
      <c r="T98" s="1864"/>
      <c r="U98" s="1867">
        <f t="shared" si="3"/>
        <v>0</v>
      </c>
      <c r="V98" s="1864"/>
      <c r="W98" s="1866"/>
      <c r="X98" s="1863"/>
      <c r="Y98" s="1864"/>
      <c r="Z98" s="1867">
        <f t="shared" si="4"/>
        <v>0</v>
      </c>
      <c r="AA98" s="1868">
        <f t="shared" si="5"/>
        <v>0</v>
      </c>
      <c r="AB98" s="1869" t="str">
        <f t="shared" si="6"/>
        <v/>
      </c>
      <c r="AC98" s="690"/>
      <c r="AD98" s="1580" t="str">
        <f t="shared" si="7"/>
        <v/>
      </c>
      <c r="AE98" s="1581">
        <f t="shared" si="8"/>
        <v>0</v>
      </c>
      <c r="AF98" s="1581">
        <f t="shared" si="9"/>
        <v>0</v>
      </c>
      <c r="AG98" s="1581">
        <f t="shared" si="10"/>
        <v>0</v>
      </c>
      <c r="AH98" s="1581">
        <f t="shared" si="11"/>
        <v>0</v>
      </c>
      <c r="AI98" s="1582">
        <f t="shared" si="12"/>
        <v>0</v>
      </c>
      <c r="AJ98" s="1583">
        <f t="shared" si="13"/>
        <v>1</v>
      </c>
      <c r="AK98" s="1581">
        <f t="shared" si="14"/>
        <v>0</v>
      </c>
      <c r="AL98" s="1584" t="e">
        <f t="shared" si="15"/>
        <v>#DIV/0!</v>
      </c>
      <c r="AM98" s="1188"/>
      <c r="AN98" s="1585">
        <f t="shared" si="16"/>
        <v>0</v>
      </c>
      <c r="AO98" s="1583">
        <f t="shared" si="17"/>
        <v>0</v>
      </c>
      <c r="AP98" s="1583">
        <f t="shared" si="18"/>
        <v>0</v>
      </c>
      <c r="AQ98" s="1583">
        <f t="shared" si="19"/>
        <v>0</v>
      </c>
      <c r="AR98" s="1586">
        <f t="shared" si="20"/>
        <v>0</v>
      </c>
      <c r="AT98" s="1587">
        <f t="shared" si="21"/>
        <v>0</v>
      </c>
      <c r="AU98" s="1583">
        <f t="shared" si="22"/>
        <v>0</v>
      </c>
      <c r="AV98" s="1583">
        <f t="shared" si="23"/>
        <v>0</v>
      </c>
      <c r="AW98" s="1583">
        <f t="shared" si="24"/>
        <v>0</v>
      </c>
      <c r="AX98" s="1583">
        <f t="shared" si="25"/>
        <v>0</v>
      </c>
      <c r="AY98" s="1588">
        <f t="shared" si="26"/>
        <v>0</v>
      </c>
      <c r="AZ98" s="1189"/>
      <c r="BA98" s="1587">
        <f t="shared" si="27"/>
        <v>0</v>
      </c>
      <c r="BB98" s="1583">
        <f t="shared" si="28"/>
        <v>0</v>
      </c>
      <c r="BC98" s="1583">
        <f t="shared" si="29"/>
        <v>0</v>
      </c>
      <c r="BD98" s="1583">
        <f t="shared" si="30"/>
        <v>0</v>
      </c>
      <c r="BE98" s="1588">
        <f t="shared" si="31"/>
        <v>0</v>
      </c>
      <c r="BG98" s="1581">
        <f t="shared" si="32"/>
        <v>43101</v>
      </c>
      <c r="BH98" s="1581">
        <f t="shared" si="33"/>
        <v>43101</v>
      </c>
      <c r="BI98" s="1581">
        <f t="shared" si="34"/>
        <v>43101</v>
      </c>
      <c r="BJ98" s="1581">
        <f t="shared" si="35"/>
        <v>0</v>
      </c>
      <c r="BL98" s="1585">
        <f t="shared" si="36"/>
        <v>0</v>
      </c>
      <c r="BM98" s="1581">
        <f t="shared" si="37"/>
        <v>0</v>
      </c>
      <c r="BN98" s="1581">
        <f t="shared" si="38"/>
        <v>0</v>
      </c>
      <c r="BO98" s="1589">
        <f t="shared" si="39"/>
        <v>0</v>
      </c>
      <c r="BP98" s="1514"/>
    </row>
    <row r="99" spans="1:68" ht="30" customHeight="1">
      <c r="A99" s="1577"/>
      <c r="B99" s="1577"/>
      <c r="C99" s="1603"/>
      <c r="D99" s="1578"/>
      <c r="E99" s="1863"/>
      <c r="F99" s="1864"/>
      <c r="G99" s="1865">
        <f t="shared" si="0"/>
        <v>0</v>
      </c>
      <c r="H99" s="1864"/>
      <c r="I99" s="1866"/>
      <c r="J99" s="1864"/>
      <c r="K99" s="1867">
        <f t="shared" si="1"/>
        <v>0</v>
      </c>
      <c r="L99" s="1864"/>
      <c r="M99" s="1866"/>
      <c r="N99" s="1863"/>
      <c r="O99" s="1864"/>
      <c r="P99" s="1867">
        <f t="shared" si="2"/>
        <v>0</v>
      </c>
      <c r="Q99" s="1864"/>
      <c r="R99" s="1866"/>
      <c r="S99" s="1863"/>
      <c r="T99" s="1864"/>
      <c r="U99" s="1867">
        <f t="shared" si="3"/>
        <v>0</v>
      </c>
      <c r="V99" s="1864"/>
      <c r="W99" s="1866"/>
      <c r="X99" s="1863"/>
      <c r="Y99" s="1864"/>
      <c r="Z99" s="1867">
        <f t="shared" si="4"/>
        <v>0</v>
      </c>
      <c r="AA99" s="1868">
        <f t="shared" si="5"/>
        <v>0</v>
      </c>
      <c r="AB99" s="1869" t="str">
        <f t="shared" si="6"/>
        <v/>
      </c>
      <c r="AC99" s="690"/>
      <c r="AD99" s="1580" t="str">
        <f t="shared" si="7"/>
        <v/>
      </c>
      <c r="AE99" s="1581">
        <f t="shared" si="8"/>
        <v>0</v>
      </c>
      <c r="AF99" s="1581">
        <f t="shared" si="9"/>
        <v>0</v>
      </c>
      <c r="AG99" s="1581">
        <f t="shared" si="10"/>
        <v>0</v>
      </c>
      <c r="AH99" s="1581">
        <f t="shared" si="11"/>
        <v>0</v>
      </c>
      <c r="AI99" s="1582">
        <f t="shared" si="12"/>
        <v>0</v>
      </c>
      <c r="AJ99" s="1583">
        <f t="shared" si="13"/>
        <v>1</v>
      </c>
      <c r="AK99" s="1581">
        <f t="shared" si="14"/>
        <v>0</v>
      </c>
      <c r="AL99" s="1584" t="e">
        <f t="shared" si="15"/>
        <v>#DIV/0!</v>
      </c>
      <c r="AM99" s="1188"/>
      <c r="AN99" s="1585">
        <f t="shared" si="16"/>
        <v>0</v>
      </c>
      <c r="AO99" s="1583">
        <f t="shared" si="17"/>
        <v>0</v>
      </c>
      <c r="AP99" s="1583">
        <f t="shared" si="18"/>
        <v>0</v>
      </c>
      <c r="AQ99" s="1583">
        <f t="shared" si="19"/>
        <v>0</v>
      </c>
      <c r="AR99" s="1586">
        <f t="shared" si="20"/>
        <v>0</v>
      </c>
      <c r="AT99" s="1587">
        <f t="shared" si="21"/>
        <v>0</v>
      </c>
      <c r="AU99" s="1583">
        <f t="shared" si="22"/>
        <v>0</v>
      </c>
      <c r="AV99" s="1583">
        <f t="shared" si="23"/>
        <v>0</v>
      </c>
      <c r="AW99" s="1583">
        <f t="shared" si="24"/>
        <v>0</v>
      </c>
      <c r="AX99" s="1583">
        <f t="shared" si="25"/>
        <v>0</v>
      </c>
      <c r="AY99" s="1588">
        <f t="shared" si="26"/>
        <v>0</v>
      </c>
      <c r="AZ99" s="1189"/>
      <c r="BA99" s="1587">
        <f t="shared" si="27"/>
        <v>0</v>
      </c>
      <c r="BB99" s="1583">
        <f t="shared" si="28"/>
        <v>0</v>
      </c>
      <c r="BC99" s="1583">
        <f t="shared" si="29"/>
        <v>0</v>
      </c>
      <c r="BD99" s="1583">
        <f t="shared" si="30"/>
        <v>0</v>
      </c>
      <c r="BE99" s="1588">
        <f t="shared" si="31"/>
        <v>0</v>
      </c>
      <c r="BG99" s="1581">
        <f t="shared" si="32"/>
        <v>43101</v>
      </c>
      <c r="BH99" s="1581">
        <f t="shared" si="33"/>
        <v>43101</v>
      </c>
      <c r="BI99" s="1581">
        <f t="shared" si="34"/>
        <v>43101</v>
      </c>
      <c r="BJ99" s="1581">
        <f t="shared" si="35"/>
        <v>0</v>
      </c>
      <c r="BL99" s="1585">
        <f t="shared" si="36"/>
        <v>0</v>
      </c>
      <c r="BM99" s="1581">
        <f t="shared" si="37"/>
        <v>0</v>
      </c>
      <c r="BN99" s="1581">
        <f t="shared" si="38"/>
        <v>0</v>
      </c>
      <c r="BO99" s="1589">
        <f t="shared" si="39"/>
        <v>0</v>
      </c>
      <c r="BP99" s="1514"/>
    </row>
    <row r="100" spans="1:68" ht="30" customHeight="1">
      <c r="A100" s="1577"/>
      <c r="B100" s="1577"/>
      <c r="C100" s="1603"/>
      <c r="D100" s="1578"/>
      <c r="E100" s="1863"/>
      <c r="F100" s="1864"/>
      <c r="G100" s="1865">
        <f t="shared" si="0"/>
        <v>0</v>
      </c>
      <c r="H100" s="1864"/>
      <c r="I100" s="1866"/>
      <c r="J100" s="1864"/>
      <c r="K100" s="1867">
        <f t="shared" si="1"/>
        <v>0</v>
      </c>
      <c r="L100" s="1864"/>
      <c r="M100" s="1866"/>
      <c r="N100" s="1863"/>
      <c r="O100" s="1864"/>
      <c r="P100" s="1867">
        <f t="shared" si="2"/>
        <v>0</v>
      </c>
      <c r="Q100" s="1864"/>
      <c r="R100" s="1866"/>
      <c r="S100" s="1863"/>
      <c r="T100" s="1864"/>
      <c r="U100" s="1867">
        <f t="shared" si="3"/>
        <v>0</v>
      </c>
      <c r="V100" s="1864"/>
      <c r="W100" s="1866"/>
      <c r="X100" s="1863"/>
      <c r="Y100" s="1864"/>
      <c r="Z100" s="1867">
        <f t="shared" si="4"/>
        <v>0</v>
      </c>
      <c r="AA100" s="1868">
        <f t="shared" si="5"/>
        <v>0</v>
      </c>
      <c r="AB100" s="1869" t="str">
        <f t="shared" si="6"/>
        <v/>
      </c>
      <c r="AC100" s="690"/>
      <c r="AD100" s="1580" t="str">
        <f t="shared" si="7"/>
        <v/>
      </c>
      <c r="AE100" s="1581">
        <f t="shared" si="8"/>
        <v>0</v>
      </c>
      <c r="AF100" s="1581">
        <f t="shared" si="9"/>
        <v>0</v>
      </c>
      <c r="AG100" s="1581">
        <f t="shared" si="10"/>
        <v>0</v>
      </c>
      <c r="AH100" s="1581">
        <f t="shared" si="11"/>
        <v>0</v>
      </c>
      <c r="AI100" s="1582">
        <f t="shared" si="12"/>
        <v>0</v>
      </c>
      <c r="AJ100" s="1583">
        <f t="shared" si="13"/>
        <v>1</v>
      </c>
      <c r="AK100" s="1581">
        <f t="shared" si="14"/>
        <v>0</v>
      </c>
      <c r="AL100" s="1584" t="e">
        <f t="shared" si="15"/>
        <v>#DIV/0!</v>
      </c>
      <c r="AM100" s="1188"/>
      <c r="AN100" s="1585">
        <f t="shared" si="16"/>
        <v>0</v>
      </c>
      <c r="AO100" s="1583">
        <f t="shared" si="17"/>
        <v>0</v>
      </c>
      <c r="AP100" s="1583">
        <f t="shared" si="18"/>
        <v>0</v>
      </c>
      <c r="AQ100" s="1583">
        <f t="shared" si="19"/>
        <v>0</v>
      </c>
      <c r="AR100" s="1586">
        <f t="shared" si="20"/>
        <v>0</v>
      </c>
      <c r="AT100" s="1587">
        <f t="shared" si="21"/>
        <v>0</v>
      </c>
      <c r="AU100" s="1583">
        <f t="shared" si="22"/>
        <v>0</v>
      </c>
      <c r="AV100" s="1583">
        <f t="shared" si="23"/>
        <v>0</v>
      </c>
      <c r="AW100" s="1583">
        <f t="shared" si="24"/>
        <v>0</v>
      </c>
      <c r="AX100" s="1583">
        <f t="shared" si="25"/>
        <v>0</v>
      </c>
      <c r="AY100" s="1588">
        <f t="shared" si="26"/>
        <v>0</v>
      </c>
      <c r="AZ100" s="1189"/>
      <c r="BA100" s="1587">
        <f t="shared" si="27"/>
        <v>0</v>
      </c>
      <c r="BB100" s="1583">
        <f t="shared" si="28"/>
        <v>0</v>
      </c>
      <c r="BC100" s="1583">
        <f t="shared" si="29"/>
        <v>0</v>
      </c>
      <c r="BD100" s="1583">
        <f t="shared" si="30"/>
        <v>0</v>
      </c>
      <c r="BE100" s="1588">
        <f t="shared" si="31"/>
        <v>0</v>
      </c>
      <c r="BG100" s="1581">
        <f t="shared" si="32"/>
        <v>43101</v>
      </c>
      <c r="BH100" s="1581">
        <f t="shared" si="33"/>
        <v>43101</v>
      </c>
      <c r="BI100" s="1581">
        <f t="shared" si="34"/>
        <v>43101</v>
      </c>
      <c r="BJ100" s="1581">
        <f t="shared" si="35"/>
        <v>0</v>
      </c>
      <c r="BL100" s="1585">
        <f t="shared" si="36"/>
        <v>0</v>
      </c>
      <c r="BM100" s="1581">
        <f t="shared" si="37"/>
        <v>0</v>
      </c>
      <c r="BN100" s="1581">
        <f t="shared" si="38"/>
        <v>0</v>
      </c>
      <c r="BO100" s="1589">
        <f t="shared" si="39"/>
        <v>0</v>
      </c>
      <c r="BP100" s="1514"/>
    </row>
    <row r="101" spans="1:68" ht="30" customHeight="1">
      <c r="A101" s="1577"/>
      <c r="B101" s="1577"/>
      <c r="C101" s="1603"/>
      <c r="D101" s="1578"/>
      <c r="E101" s="1863"/>
      <c r="F101" s="1864"/>
      <c r="G101" s="1865">
        <f t="shared" si="0"/>
        <v>0</v>
      </c>
      <c r="H101" s="1864"/>
      <c r="I101" s="1866"/>
      <c r="J101" s="1864"/>
      <c r="K101" s="1867">
        <f t="shared" si="1"/>
        <v>0</v>
      </c>
      <c r="L101" s="1864"/>
      <c r="M101" s="1866"/>
      <c r="N101" s="1863"/>
      <c r="O101" s="1864"/>
      <c r="P101" s="1867">
        <f t="shared" si="2"/>
        <v>0</v>
      </c>
      <c r="Q101" s="1864"/>
      <c r="R101" s="1866"/>
      <c r="S101" s="1863"/>
      <c r="T101" s="1864"/>
      <c r="U101" s="1867">
        <f t="shared" si="3"/>
        <v>0</v>
      </c>
      <c r="V101" s="1864"/>
      <c r="W101" s="1866"/>
      <c r="X101" s="1863"/>
      <c r="Y101" s="1864"/>
      <c r="Z101" s="1867">
        <f t="shared" si="4"/>
        <v>0</v>
      </c>
      <c r="AA101" s="1868">
        <f t="shared" si="5"/>
        <v>0</v>
      </c>
      <c r="AB101" s="1869" t="str">
        <f t="shared" si="6"/>
        <v/>
      </c>
      <c r="AC101" s="690"/>
      <c r="AD101" s="1580" t="str">
        <f t="shared" si="7"/>
        <v/>
      </c>
      <c r="AE101" s="1581">
        <f t="shared" si="8"/>
        <v>0</v>
      </c>
      <c r="AF101" s="1581">
        <f t="shared" si="9"/>
        <v>0</v>
      </c>
      <c r="AG101" s="1581">
        <f t="shared" si="10"/>
        <v>0</v>
      </c>
      <c r="AH101" s="1581">
        <f t="shared" si="11"/>
        <v>0</v>
      </c>
      <c r="AI101" s="1582">
        <f t="shared" si="12"/>
        <v>0</v>
      </c>
      <c r="AJ101" s="1583">
        <f t="shared" si="13"/>
        <v>1</v>
      </c>
      <c r="AK101" s="1581">
        <f t="shared" si="14"/>
        <v>0</v>
      </c>
      <c r="AL101" s="1584" t="e">
        <f t="shared" si="15"/>
        <v>#DIV/0!</v>
      </c>
      <c r="AM101" s="1188"/>
      <c r="AN101" s="1585">
        <f t="shared" si="16"/>
        <v>0</v>
      </c>
      <c r="AO101" s="1583">
        <f t="shared" si="17"/>
        <v>0</v>
      </c>
      <c r="AP101" s="1583">
        <f t="shared" si="18"/>
        <v>0</v>
      </c>
      <c r="AQ101" s="1583">
        <f t="shared" si="19"/>
        <v>0</v>
      </c>
      <c r="AR101" s="1586">
        <f t="shared" si="20"/>
        <v>0</v>
      </c>
      <c r="AT101" s="1587">
        <f t="shared" si="21"/>
        <v>0</v>
      </c>
      <c r="AU101" s="1583">
        <f t="shared" si="22"/>
        <v>0</v>
      </c>
      <c r="AV101" s="1583">
        <f t="shared" si="23"/>
        <v>0</v>
      </c>
      <c r="AW101" s="1583">
        <f t="shared" si="24"/>
        <v>0</v>
      </c>
      <c r="AX101" s="1583">
        <f t="shared" si="25"/>
        <v>0</v>
      </c>
      <c r="AY101" s="1588">
        <f t="shared" si="26"/>
        <v>0</v>
      </c>
      <c r="AZ101" s="1189"/>
      <c r="BA101" s="1587">
        <f t="shared" si="27"/>
        <v>0</v>
      </c>
      <c r="BB101" s="1583">
        <f t="shared" si="28"/>
        <v>0</v>
      </c>
      <c r="BC101" s="1583">
        <f t="shared" si="29"/>
        <v>0</v>
      </c>
      <c r="BD101" s="1583">
        <f t="shared" si="30"/>
        <v>0</v>
      </c>
      <c r="BE101" s="1588">
        <f t="shared" si="31"/>
        <v>0</v>
      </c>
      <c r="BG101" s="1581">
        <f t="shared" si="32"/>
        <v>43101</v>
      </c>
      <c r="BH101" s="1581">
        <f t="shared" si="33"/>
        <v>43101</v>
      </c>
      <c r="BI101" s="1581">
        <f t="shared" si="34"/>
        <v>43101</v>
      </c>
      <c r="BJ101" s="1581">
        <f t="shared" si="35"/>
        <v>0</v>
      </c>
      <c r="BL101" s="1585">
        <f t="shared" si="36"/>
        <v>0</v>
      </c>
      <c r="BM101" s="1581">
        <f t="shared" si="37"/>
        <v>0</v>
      </c>
      <c r="BN101" s="1581">
        <f t="shared" si="38"/>
        <v>0</v>
      </c>
      <c r="BO101" s="1589">
        <f t="shared" si="39"/>
        <v>0</v>
      </c>
      <c r="BP101" s="1514"/>
    </row>
    <row r="102" spans="1:68" ht="30" customHeight="1">
      <c r="A102" s="1577"/>
      <c r="B102" s="1577"/>
      <c r="C102" s="1603"/>
      <c r="D102" s="1578"/>
      <c r="E102" s="1863"/>
      <c r="F102" s="1864"/>
      <c r="G102" s="1865">
        <f t="shared" si="0"/>
        <v>0</v>
      </c>
      <c r="H102" s="1864"/>
      <c r="I102" s="1866"/>
      <c r="J102" s="1864"/>
      <c r="K102" s="1867">
        <f t="shared" si="1"/>
        <v>0</v>
      </c>
      <c r="L102" s="1864"/>
      <c r="M102" s="1866"/>
      <c r="N102" s="1863"/>
      <c r="O102" s="1864"/>
      <c r="P102" s="1867">
        <f t="shared" si="2"/>
        <v>0</v>
      </c>
      <c r="Q102" s="1864"/>
      <c r="R102" s="1866"/>
      <c r="S102" s="1863"/>
      <c r="T102" s="1864"/>
      <c r="U102" s="1867">
        <f t="shared" si="3"/>
        <v>0</v>
      </c>
      <c r="V102" s="1864"/>
      <c r="W102" s="1866"/>
      <c r="X102" s="1863"/>
      <c r="Y102" s="1864"/>
      <c r="Z102" s="1867">
        <f t="shared" si="4"/>
        <v>0</v>
      </c>
      <c r="AA102" s="1868">
        <f t="shared" si="5"/>
        <v>0</v>
      </c>
      <c r="AB102" s="1869" t="str">
        <f t="shared" si="6"/>
        <v/>
      </c>
      <c r="AC102" s="690"/>
      <c r="AD102" s="1580" t="str">
        <f t="shared" si="7"/>
        <v/>
      </c>
      <c r="AE102" s="1581">
        <f t="shared" si="8"/>
        <v>0</v>
      </c>
      <c r="AF102" s="1581">
        <f t="shared" si="9"/>
        <v>0</v>
      </c>
      <c r="AG102" s="1581">
        <f t="shared" si="10"/>
        <v>0</v>
      </c>
      <c r="AH102" s="1581">
        <f t="shared" si="11"/>
        <v>0</v>
      </c>
      <c r="AI102" s="1582">
        <f t="shared" si="12"/>
        <v>0</v>
      </c>
      <c r="AJ102" s="1583">
        <f t="shared" si="13"/>
        <v>1</v>
      </c>
      <c r="AK102" s="1581">
        <f t="shared" si="14"/>
        <v>0</v>
      </c>
      <c r="AL102" s="1584" t="e">
        <f t="shared" si="15"/>
        <v>#DIV/0!</v>
      </c>
      <c r="AM102" s="1188"/>
      <c r="AN102" s="1585">
        <f t="shared" si="16"/>
        <v>0</v>
      </c>
      <c r="AO102" s="1583">
        <f t="shared" si="17"/>
        <v>0</v>
      </c>
      <c r="AP102" s="1583">
        <f t="shared" si="18"/>
        <v>0</v>
      </c>
      <c r="AQ102" s="1583">
        <f t="shared" si="19"/>
        <v>0</v>
      </c>
      <c r="AR102" s="1586">
        <f t="shared" si="20"/>
        <v>0</v>
      </c>
      <c r="AT102" s="1587">
        <f t="shared" si="21"/>
        <v>0</v>
      </c>
      <c r="AU102" s="1583">
        <f t="shared" si="22"/>
        <v>0</v>
      </c>
      <c r="AV102" s="1583">
        <f t="shared" si="23"/>
        <v>0</v>
      </c>
      <c r="AW102" s="1583">
        <f t="shared" si="24"/>
        <v>0</v>
      </c>
      <c r="AX102" s="1583">
        <f t="shared" si="25"/>
        <v>0</v>
      </c>
      <c r="AY102" s="1588">
        <f t="shared" si="26"/>
        <v>0</v>
      </c>
      <c r="AZ102" s="1189"/>
      <c r="BA102" s="1587">
        <f t="shared" si="27"/>
        <v>0</v>
      </c>
      <c r="BB102" s="1583">
        <f t="shared" si="28"/>
        <v>0</v>
      </c>
      <c r="BC102" s="1583">
        <f t="shared" si="29"/>
        <v>0</v>
      </c>
      <c r="BD102" s="1583">
        <f t="shared" si="30"/>
        <v>0</v>
      </c>
      <c r="BE102" s="1588">
        <f t="shared" si="31"/>
        <v>0</v>
      </c>
      <c r="BG102" s="1581">
        <f t="shared" si="32"/>
        <v>43101</v>
      </c>
      <c r="BH102" s="1581">
        <f t="shared" si="33"/>
        <v>43101</v>
      </c>
      <c r="BI102" s="1581">
        <f t="shared" si="34"/>
        <v>43101</v>
      </c>
      <c r="BJ102" s="1581">
        <f t="shared" si="35"/>
        <v>0</v>
      </c>
      <c r="BL102" s="1585">
        <f t="shared" si="36"/>
        <v>0</v>
      </c>
      <c r="BM102" s="1581">
        <f t="shared" si="37"/>
        <v>0</v>
      </c>
      <c r="BN102" s="1581">
        <f t="shared" si="38"/>
        <v>0</v>
      </c>
      <c r="BO102" s="1589">
        <f t="shared" si="39"/>
        <v>0</v>
      </c>
      <c r="BP102" s="1514"/>
    </row>
    <row r="103" spans="1:68" ht="30" customHeight="1">
      <c r="A103" s="1577"/>
      <c r="B103" s="1577"/>
      <c r="C103" s="1603"/>
      <c r="D103" s="1578"/>
      <c r="E103" s="1863"/>
      <c r="F103" s="1864"/>
      <c r="G103" s="1865">
        <f t="shared" si="0"/>
        <v>0</v>
      </c>
      <c r="H103" s="1864"/>
      <c r="I103" s="1866"/>
      <c r="J103" s="1864"/>
      <c r="K103" s="1867">
        <f t="shared" si="1"/>
        <v>0</v>
      </c>
      <c r="L103" s="1864"/>
      <c r="M103" s="1866"/>
      <c r="N103" s="1863"/>
      <c r="O103" s="1864"/>
      <c r="P103" s="1867">
        <f t="shared" si="2"/>
        <v>0</v>
      </c>
      <c r="Q103" s="1864"/>
      <c r="R103" s="1866"/>
      <c r="S103" s="1863"/>
      <c r="T103" s="1864"/>
      <c r="U103" s="1867">
        <f t="shared" si="3"/>
        <v>0</v>
      </c>
      <c r="V103" s="1864"/>
      <c r="W103" s="1866"/>
      <c r="X103" s="1863"/>
      <c r="Y103" s="1864"/>
      <c r="Z103" s="1867">
        <f t="shared" si="4"/>
        <v>0</v>
      </c>
      <c r="AA103" s="1868">
        <f t="shared" si="5"/>
        <v>0</v>
      </c>
      <c r="AB103" s="1869" t="str">
        <f t="shared" si="6"/>
        <v/>
      </c>
      <c r="AC103" s="690"/>
      <c r="AD103" s="1580" t="str">
        <f t="shared" si="7"/>
        <v/>
      </c>
      <c r="AE103" s="1581">
        <f t="shared" si="8"/>
        <v>0</v>
      </c>
      <c r="AF103" s="1581">
        <f t="shared" si="9"/>
        <v>0</v>
      </c>
      <c r="AG103" s="1581">
        <f t="shared" si="10"/>
        <v>0</v>
      </c>
      <c r="AH103" s="1581">
        <f t="shared" si="11"/>
        <v>0</v>
      </c>
      <c r="AI103" s="1582">
        <f t="shared" si="12"/>
        <v>0</v>
      </c>
      <c r="AJ103" s="1583">
        <f t="shared" si="13"/>
        <v>1</v>
      </c>
      <c r="AK103" s="1581">
        <f t="shared" si="14"/>
        <v>0</v>
      </c>
      <c r="AL103" s="1584" t="e">
        <f t="shared" si="15"/>
        <v>#DIV/0!</v>
      </c>
      <c r="AM103" s="1188"/>
      <c r="AN103" s="1585">
        <f t="shared" si="16"/>
        <v>0</v>
      </c>
      <c r="AO103" s="1583">
        <f t="shared" si="17"/>
        <v>0</v>
      </c>
      <c r="AP103" s="1583">
        <f t="shared" si="18"/>
        <v>0</v>
      </c>
      <c r="AQ103" s="1583">
        <f t="shared" si="19"/>
        <v>0</v>
      </c>
      <c r="AR103" s="1586">
        <f t="shared" si="20"/>
        <v>0</v>
      </c>
      <c r="AT103" s="1587">
        <f t="shared" si="21"/>
        <v>0</v>
      </c>
      <c r="AU103" s="1583">
        <f t="shared" si="22"/>
        <v>0</v>
      </c>
      <c r="AV103" s="1583">
        <f t="shared" si="23"/>
        <v>0</v>
      </c>
      <c r="AW103" s="1583">
        <f t="shared" si="24"/>
        <v>0</v>
      </c>
      <c r="AX103" s="1583">
        <f t="shared" si="25"/>
        <v>0</v>
      </c>
      <c r="AY103" s="1588">
        <f t="shared" si="26"/>
        <v>0</v>
      </c>
      <c r="AZ103" s="1189"/>
      <c r="BA103" s="1587">
        <f t="shared" si="27"/>
        <v>0</v>
      </c>
      <c r="BB103" s="1583">
        <f t="shared" si="28"/>
        <v>0</v>
      </c>
      <c r="BC103" s="1583">
        <f t="shared" si="29"/>
        <v>0</v>
      </c>
      <c r="BD103" s="1583">
        <f t="shared" si="30"/>
        <v>0</v>
      </c>
      <c r="BE103" s="1588">
        <f t="shared" si="31"/>
        <v>0</v>
      </c>
      <c r="BG103" s="1581">
        <f t="shared" si="32"/>
        <v>43101</v>
      </c>
      <c r="BH103" s="1581">
        <f t="shared" si="33"/>
        <v>43101</v>
      </c>
      <c r="BI103" s="1581">
        <f t="shared" si="34"/>
        <v>43101</v>
      </c>
      <c r="BJ103" s="1581">
        <f t="shared" si="35"/>
        <v>0</v>
      </c>
      <c r="BL103" s="1585">
        <f t="shared" si="36"/>
        <v>0</v>
      </c>
      <c r="BM103" s="1581">
        <f t="shared" si="37"/>
        <v>0</v>
      </c>
      <c r="BN103" s="1581">
        <f t="shared" si="38"/>
        <v>0</v>
      </c>
      <c r="BO103" s="1589">
        <f t="shared" si="39"/>
        <v>0</v>
      </c>
      <c r="BP103" s="1514"/>
    </row>
    <row r="104" spans="1:68" ht="30" customHeight="1">
      <c r="A104" s="1577"/>
      <c r="B104" s="1577"/>
      <c r="C104" s="1603"/>
      <c r="D104" s="1578"/>
      <c r="E104" s="1863"/>
      <c r="F104" s="1864"/>
      <c r="G104" s="1865">
        <f t="shared" si="0"/>
        <v>0</v>
      </c>
      <c r="H104" s="1864"/>
      <c r="I104" s="1866"/>
      <c r="J104" s="1864"/>
      <c r="K104" s="1867">
        <f t="shared" si="1"/>
        <v>0</v>
      </c>
      <c r="L104" s="1864"/>
      <c r="M104" s="1866"/>
      <c r="N104" s="1863"/>
      <c r="O104" s="1864"/>
      <c r="P104" s="1867">
        <f t="shared" si="2"/>
        <v>0</v>
      </c>
      <c r="Q104" s="1864"/>
      <c r="R104" s="1866"/>
      <c r="S104" s="1863"/>
      <c r="T104" s="1864"/>
      <c r="U104" s="1867">
        <f t="shared" si="3"/>
        <v>0</v>
      </c>
      <c r="V104" s="1864"/>
      <c r="W104" s="1866"/>
      <c r="X104" s="1863"/>
      <c r="Y104" s="1864"/>
      <c r="Z104" s="1867">
        <f t="shared" si="4"/>
        <v>0</v>
      </c>
      <c r="AA104" s="1868">
        <f t="shared" si="5"/>
        <v>0</v>
      </c>
      <c r="AB104" s="1869" t="str">
        <f t="shared" si="6"/>
        <v/>
      </c>
      <c r="AC104" s="690"/>
      <c r="AD104" s="1580" t="str">
        <f t="shared" si="7"/>
        <v/>
      </c>
      <c r="AE104" s="1581">
        <f t="shared" si="8"/>
        <v>0</v>
      </c>
      <c r="AF104" s="1581">
        <f t="shared" si="9"/>
        <v>0</v>
      </c>
      <c r="AG104" s="1581">
        <f t="shared" si="10"/>
        <v>0</v>
      </c>
      <c r="AH104" s="1581">
        <f t="shared" si="11"/>
        <v>0</v>
      </c>
      <c r="AI104" s="1582">
        <f t="shared" si="12"/>
        <v>0</v>
      </c>
      <c r="AJ104" s="1583">
        <f t="shared" si="13"/>
        <v>1</v>
      </c>
      <c r="AK104" s="1581">
        <f t="shared" si="14"/>
        <v>0</v>
      </c>
      <c r="AL104" s="1584" t="e">
        <f t="shared" si="15"/>
        <v>#DIV/0!</v>
      </c>
      <c r="AM104" s="1188"/>
      <c r="AN104" s="1585">
        <f t="shared" si="16"/>
        <v>0</v>
      </c>
      <c r="AO104" s="1583">
        <f t="shared" si="17"/>
        <v>0</v>
      </c>
      <c r="AP104" s="1583">
        <f t="shared" si="18"/>
        <v>0</v>
      </c>
      <c r="AQ104" s="1583">
        <f t="shared" si="19"/>
        <v>0</v>
      </c>
      <c r="AR104" s="1586">
        <f t="shared" si="20"/>
        <v>0</v>
      </c>
      <c r="AT104" s="1587">
        <f t="shared" si="21"/>
        <v>0</v>
      </c>
      <c r="AU104" s="1583">
        <f t="shared" si="22"/>
        <v>0</v>
      </c>
      <c r="AV104" s="1583">
        <f t="shared" si="23"/>
        <v>0</v>
      </c>
      <c r="AW104" s="1583">
        <f t="shared" si="24"/>
        <v>0</v>
      </c>
      <c r="AX104" s="1583">
        <f t="shared" si="25"/>
        <v>0</v>
      </c>
      <c r="AY104" s="1588">
        <f t="shared" si="26"/>
        <v>0</v>
      </c>
      <c r="AZ104" s="1189"/>
      <c r="BA104" s="1587">
        <f t="shared" si="27"/>
        <v>0</v>
      </c>
      <c r="BB104" s="1583">
        <f t="shared" si="28"/>
        <v>0</v>
      </c>
      <c r="BC104" s="1583">
        <f t="shared" si="29"/>
        <v>0</v>
      </c>
      <c r="BD104" s="1583">
        <f t="shared" si="30"/>
        <v>0</v>
      </c>
      <c r="BE104" s="1588">
        <f t="shared" si="31"/>
        <v>0</v>
      </c>
      <c r="BG104" s="1581">
        <f t="shared" si="32"/>
        <v>43101</v>
      </c>
      <c r="BH104" s="1581">
        <f t="shared" si="33"/>
        <v>43101</v>
      </c>
      <c r="BI104" s="1581">
        <f t="shared" si="34"/>
        <v>43101</v>
      </c>
      <c r="BJ104" s="1581">
        <f t="shared" si="35"/>
        <v>0</v>
      </c>
      <c r="BL104" s="1585">
        <f t="shared" si="36"/>
        <v>0</v>
      </c>
      <c r="BM104" s="1581">
        <f t="shared" si="37"/>
        <v>0</v>
      </c>
      <c r="BN104" s="1581">
        <f t="shared" si="38"/>
        <v>0</v>
      </c>
      <c r="BO104" s="1589">
        <f t="shared" si="39"/>
        <v>0</v>
      </c>
      <c r="BP104" s="1514"/>
    </row>
    <row r="105" spans="1:68" ht="30" customHeight="1">
      <c r="A105" s="1577"/>
      <c r="B105" s="1577"/>
      <c r="C105" s="1603"/>
      <c r="D105" s="1578"/>
      <c r="E105" s="1863"/>
      <c r="F105" s="1864"/>
      <c r="G105" s="1865">
        <f t="shared" si="0"/>
        <v>0</v>
      </c>
      <c r="H105" s="1864"/>
      <c r="I105" s="1866"/>
      <c r="J105" s="1864"/>
      <c r="K105" s="1867">
        <f t="shared" si="1"/>
        <v>0</v>
      </c>
      <c r="L105" s="1864"/>
      <c r="M105" s="1866"/>
      <c r="N105" s="1863"/>
      <c r="O105" s="1864"/>
      <c r="P105" s="1867">
        <f t="shared" si="2"/>
        <v>0</v>
      </c>
      <c r="Q105" s="1864"/>
      <c r="R105" s="1866"/>
      <c r="S105" s="1863"/>
      <c r="T105" s="1864"/>
      <c r="U105" s="1867">
        <f t="shared" si="3"/>
        <v>0</v>
      </c>
      <c r="V105" s="1864"/>
      <c r="W105" s="1866"/>
      <c r="X105" s="1863"/>
      <c r="Y105" s="1864"/>
      <c r="Z105" s="1867">
        <f t="shared" si="4"/>
        <v>0</v>
      </c>
      <c r="AA105" s="1868">
        <f t="shared" si="5"/>
        <v>0</v>
      </c>
      <c r="AB105" s="1869" t="str">
        <f t="shared" si="6"/>
        <v/>
      </c>
      <c r="AC105" s="690"/>
      <c r="AD105" s="1580" t="str">
        <f t="shared" si="7"/>
        <v/>
      </c>
      <c r="AE105" s="1581">
        <f t="shared" si="8"/>
        <v>0</v>
      </c>
      <c r="AF105" s="1581">
        <f t="shared" si="9"/>
        <v>0</v>
      </c>
      <c r="AG105" s="1581">
        <f t="shared" si="10"/>
        <v>0</v>
      </c>
      <c r="AH105" s="1581">
        <f t="shared" si="11"/>
        <v>0</v>
      </c>
      <c r="AI105" s="1582">
        <f t="shared" si="12"/>
        <v>0</v>
      </c>
      <c r="AJ105" s="1583">
        <f t="shared" si="13"/>
        <v>1</v>
      </c>
      <c r="AK105" s="1581">
        <f t="shared" si="14"/>
        <v>0</v>
      </c>
      <c r="AL105" s="1584" t="e">
        <f t="shared" si="15"/>
        <v>#DIV/0!</v>
      </c>
      <c r="AM105" s="1188"/>
      <c r="AN105" s="1585">
        <f t="shared" si="16"/>
        <v>0</v>
      </c>
      <c r="AO105" s="1583">
        <f t="shared" si="17"/>
        <v>0</v>
      </c>
      <c r="AP105" s="1583">
        <f t="shared" si="18"/>
        <v>0</v>
      </c>
      <c r="AQ105" s="1583">
        <f t="shared" si="19"/>
        <v>0</v>
      </c>
      <c r="AR105" s="1586">
        <f t="shared" si="20"/>
        <v>0</v>
      </c>
      <c r="AT105" s="1587">
        <f t="shared" si="21"/>
        <v>0</v>
      </c>
      <c r="AU105" s="1583">
        <f t="shared" si="22"/>
        <v>0</v>
      </c>
      <c r="AV105" s="1583">
        <f t="shared" si="23"/>
        <v>0</v>
      </c>
      <c r="AW105" s="1583">
        <f t="shared" si="24"/>
        <v>0</v>
      </c>
      <c r="AX105" s="1583">
        <f t="shared" si="25"/>
        <v>0</v>
      </c>
      <c r="AY105" s="1588">
        <f t="shared" si="26"/>
        <v>0</v>
      </c>
      <c r="AZ105" s="1189"/>
      <c r="BA105" s="1587">
        <f t="shared" si="27"/>
        <v>0</v>
      </c>
      <c r="BB105" s="1583">
        <f t="shared" si="28"/>
        <v>0</v>
      </c>
      <c r="BC105" s="1583">
        <f t="shared" si="29"/>
        <v>0</v>
      </c>
      <c r="BD105" s="1583">
        <f t="shared" si="30"/>
        <v>0</v>
      </c>
      <c r="BE105" s="1588">
        <f t="shared" si="31"/>
        <v>0</v>
      </c>
      <c r="BG105" s="1581">
        <f t="shared" si="32"/>
        <v>43101</v>
      </c>
      <c r="BH105" s="1581">
        <f t="shared" si="33"/>
        <v>43101</v>
      </c>
      <c r="BI105" s="1581">
        <f t="shared" si="34"/>
        <v>43101</v>
      </c>
      <c r="BJ105" s="1581">
        <f t="shared" si="35"/>
        <v>0</v>
      </c>
      <c r="BL105" s="1585">
        <f t="shared" si="36"/>
        <v>0</v>
      </c>
      <c r="BM105" s="1581">
        <f t="shared" si="37"/>
        <v>0</v>
      </c>
      <c r="BN105" s="1581">
        <f t="shared" si="38"/>
        <v>0</v>
      </c>
      <c r="BO105" s="1589">
        <f t="shared" si="39"/>
        <v>0</v>
      </c>
      <c r="BP105" s="1514"/>
    </row>
    <row r="106" spans="1:68" ht="30" customHeight="1">
      <c r="A106" s="1577"/>
      <c r="B106" s="1577"/>
      <c r="C106" s="1603"/>
      <c r="D106" s="1578"/>
      <c r="E106" s="1863"/>
      <c r="F106" s="1864"/>
      <c r="G106" s="1865">
        <f t="shared" si="0"/>
        <v>0</v>
      </c>
      <c r="H106" s="1864"/>
      <c r="I106" s="1866"/>
      <c r="J106" s="1864"/>
      <c r="K106" s="1867">
        <f t="shared" si="1"/>
        <v>0</v>
      </c>
      <c r="L106" s="1864"/>
      <c r="M106" s="1866"/>
      <c r="N106" s="1863"/>
      <c r="O106" s="1864"/>
      <c r="P106" s="1867">
        <f t="shared" si="2"/>
        <v>0</v>
      </c>
      <c r="Q106" s="1864"/>
      <c r="R106" s="1866"/>
      <c r="S106" s="1863"/>
      <c r="T106" s="1864"/>
      <c r="U106" s="1867">
        <f t="shared" si="3"/>
        <v>0</v>
      </c>
      <c r="V106" s="1864"/>
      <c r="W106" s="1866"/>
      <c r="X106" s="1863"/>
      <c r="Y106" s="1864"/>
      <c r="Z106" s="1867">
        <f t="shared" si="4"/>
        <v>0</v>
      </c>
      <c r="AA106" s="1868">
        <f t="shared" si="5"/>
        <v>0</v>
      </c>
      <c r="AB106" s="1869" t="str">
        <f t="shared" si="6"/>
        <v/>
      </c>
      <c r="AC106" s="690"/>
      <c r="AD106" s="1580" t="str">
        <f t="shared" si="7"/>
        <v/>
      </c>
      <c r="AE106" s="1581">
        <f t="shared" si="8"/>
        <v>0</v>
      </c>
      <c r="AF106" s="1581">
        <f t="shared" si="9"/>
        <v>0</v>
      </c>
      <c r="AG106" s="1581">
        <f t="shared" si="10"/>
        <v>0</v>
      </c>
      <c r="AH106" s="1581">
        <f t="shared" si="11"/>
        <v>0</v>
      </c>
      <c r="AI106" s="1582">
        <f t="shared" si="12"/>
        <v>0</v>
      </c>
      <c r="AJ106" s="1583">
        <f t="shared" si="13"/>
        <v>1</v>
      </c>
      <c r="AK106" s="1581">
        <f t="shared" si="14"/>
        <v>0</v>
      </c>
      <c r="AL106" s="1584" t="e">
        <f t="shared" si="15"/>
        <v>#DIV/0!</v>
      </c>
      <c r="AM106" s="1188"/>
      <c r="AN106" s="1585">
        <f t="shared" si="16"/>
        <v>0</v>
      </c>
      <c r="AO106" s="1583">
        <f t="shared" si="17"/>
        <v>0</v>
      </c>
      <c r="AP106" s="1583">
        <f t="shared" si="18"/>
        <v>0</v>
      </c>
      <c r="AQ106" s="1583">
        <f t="shared" si="19"/>
        <v>0</v>
      </c>
      <c r="AR106" s="1586">
        <f t="shared" si="20"/>
        <v>0</v>
      </c>
      <c r="AT106" s="1587">
        <f t="shared" si="21"/>
        <v>0</v>
      </c>
      <c r="AU106" s="1583">
        <f t="shared" si="22"/>
        <v>0</v>
      </c>
      <c r="AV106" s="1583">
        <f t="shared" si="23"/>
        <v>0</v>
      </c>
      <c r="AW106" s="1583">
        <f t="shared" si="24"/>
        <v>0</v>
      </c>
      <c r="AX106" s="1583">
        <f t="shared" si="25"/>
        <v>0</v>
      </c>
      <c r="AY106" s="1588">
        <f t="shared" si="26"/>
        <v>0</v>
      </c>
      <c r="AZ106" s="1189"/>
      <c r="BA106" s="1587">
        <f t="shared" si="27"/>
        <v>0</v>
      </c>
      <c r="BB106" s="1583">
        <f t="shared" si="28"/>
        <v>0</v>
      </c>
      <c r="BC106" s="1583">
        <f t="shared" si="29"/>
        <v>0</v>
      </c>
      <c r="BD106" s="1583">
        <f t="shared" si="30"/>
        <v>0</v>
      </c>
      <c r="BE106" s="1588">
        <f t="shared" si="31"/>
        <v>0</v>
      </c>
      <c r="BG106" s="1581">
        <f t="shared" si="32"/>
        <v>43101</v>
      </c>
      <c r="BH106" s="1581">
        <f t="shared" si="33"/>
        <v>43101</v>
      </c>
      <c r="BI106" s="1581">
        <f t="shared" si="34"/>
        <v>43101</v>
      </c>
      <c r="BJ106" s="1581">
        <f t="shared" si="35"/>
        <v>0</v>
      </c>
      <c r="BL106" s="1585">
        <f t="shared" si="36"/>
        <v>0</v>
      </c>
      <c r="BM106" s="1581">
        <f t="shared" si="37"/>
        <v>0</v>
      </c>
      <c r="BN106" s="1581">
        <f t="shared" si="38"/>
        <v>0</v>
      </c>
      <c r="BO106" s="1589">
        <f t="shared" si="39"/>
        <v>0</v>
      </c>
      <c r="BP106" s="1514"/>
    </row>
    <row r="107" spans="1:68" ht="30" customHeight="1">
      <c r="A107" s="1577"/>
      <c r="B107" s="1577"/>
      <c r="C107" s="1603"/>
      <c r="D107" s="1578"/>
      <c r="E107" s="1863"/>
      <c r="F107" s="1864"/>
      <c r="G107" s="1865">
        <f t="shared" si="0"/>
        <v>0</v>
      </c>
      <c r="H107" s="1864"/>
      <c r="I107" s="1866"/>
      <c r="J107" s="1864"/>
      <c r="K107" s="1867">
        <f t="shared" si="1"/>
        <v>0</v>
      </c>
      <c r="L107" s="1864"/>
      <c r="M107" s="1866"/>
      <c r="N107" s="1863"/>
      <c r="O107" s="1864"/>
      <c r="P107" s="1867">
        <f t="shared" si="2"/>
        <v>0</v>
      </c>
      <c r="Q107" s="1864"/>
      <c r="R107" s="1866"/>
      <c r="S107" s="1863"/>
      <c r="T107" s="1864"/>
      <c r="U107" s="1867">
        <f t="shared" si="3"/>
        <v>0</v>
      </c>
      <c r="V107" s="1864"/>
      <c r="W107" s="1866"/>
      <c r="X107" s="1863"/>
      <c r="Y107" s="1864"/>
      <c r="Z107" s="1867">
        <f t="shared" si="4"/>
        <v>0</v>
      </c>
      <c r="AA107" s="1868">
        <f t="shared" si="5"/>
        <v>0</v>
      </c>
      <c r="AB107" s="1869" t="str">
        <f t="shared" si="6"/>
        <v/>
      </c>
      <c r="AC107" s="690"/>
      <c r="AD107" s="1580" t="str">
        <f t="shared" si="7"/>
        <v/>
      </c>
      <c r="AE107" s="1581">
        <f t="shared" si="8"/>
        <v>0</v>
      </c>
      <c r="AF107" s="1581">
        <f t="shared" si="9"/>
        <v>0</v>
      </c>
      <c r="AG107" s="1581">
        <f t="shared" si="10"/>
        <v>0</v>
      </c>
      <c r="AH107" s="1581">
        <f t="shared" si="11"/>
        <v>0</v>
      </c>
      <c r="AI107" s="1582">
        <f t="shared" si="12"/>
        <v>0</v>
      </c>
      <c r="AJ107" s="1583">
        <f t="shared" si="13"/>
        <v>1</v>
      </c>
      <c r="AK107" s="1581">
        <f t="shared" si="14"/>
        <v>0</v>
      </c>
      <c r="AL107" s="1584" t="e">
        <f t="shared" si="15"/>
        <v>#DIV/0!</v>
      </c>
      <c r="AM107" s="1188"/>
      <c r="AN107" s="1585">
        <f t="shared" si="16"/>
        <v>0</v>
      </c>
      <c r="AO107" s="1583">
        <f t="shared" si="17"/>
        <v>0</v>
      </c>
      <c r="AP107" s="1583">
        <f t="shared" si="18"/>
        <v>0</v>
      </c>
      <c r="AQ107" s="1583">
        <f t="shared" si="19"/>
        <v>0</v>
      </c>
      <c r="AR107" s="1586">
        <f t="shared" si="20"/>
        <v>0</v>
      </c>
      <c r="AT107" s="1587">
        <f t="shared" si="21"/>
        <v>0</v>
      </c>
      <c r="AU107" s="1583">
        <f t="shared" si="22"/>
        <v>0</v>
      </c>
      <c r="AV107" s="1583">
        <f t="shared" si="23"/>
        <v>0</v>
      </c>
      <c r="AW107" s="1583">
        <f t="shared" si="24"/>
        <v>0</v>
      </c>
      <c r="AX107" s="1583">
        <f t="shared" si="25"/>
        <v>0</v>
      </c>
      <c r="AY107" s="1588">
        <f t="shared" si="26"/>
        <v>0</v>
      </c>
      <c r="AZ107" s="1189"/>
      <c r="BA107" s="1587">
        <f t="shared" si="27"/>
        <v>0</v>
      </c>
      <c r="BB107" s="1583">
        <f t="shared" si="28"/>
        <v>0</v>
      </c>
      <c r="BC107" s="1583">
        <f t="shared" si="29"/>
        <v>0</v>
      </c>
      <c r="BD107" s="1583">
        <f t="shared" si="30"/>
        <v>0</v>
      </c>
      <c r="BE107" s="1588">
        <f t="shared" si="31"/>
        <v>0</v>
      </c>
      <c r="BG107" s="1581">
        <f t="shared" si="32"/>
        <v>43101</v>
      </c>
      <c r="BH107" s="1581">
        <f t="shared" si="33"/>
        <v>43101</v>
      </c>
      <c r="BI107" s="1581">
        <f t="shared" si="34"/>
        <v>43101</v>
      </c>
      <c r="BJ107" s="1581">
        <f t="shared" si="35"/>
        <v>0</v>
      </c>
      <c r="BL107" s="1585">
        <f t="shared" si="36"/>
        <v>0</v>
      </c>
      <c r="BM107" s="1581">
        <f t="shared" si="37"/>
        <v>0</v>
      </c>
      <c r="BN107" s="1581">
        <f t="shared" si="38"/>
        <v>0</v>
      </c>
      <c r="BO107" s="1589">
        <f t="shared" si="39"/>
        <v>0</v>
      </c>
      <c r="BP107" s="1514"/>
    </row>
    <row r="108" spans="1:68" ht="30" customHeight="1">
      <c r="A108" s="1577"/>
      <c r="B108" s="1577"/>
      <c r="C108" s="1603"/>
      <c r="D108" s="1578"/>
      <c r="E108" s="1863"/>
      <c r="F108" s="1864"/>
      <c r="G108" s="1865">
        <f t="shared" si="0"/>
        <v>0</v>
      </c>
      <c r="H108" s="1864"/>
      <c r="I108" s="1866"/>
      <c r="J108" s="1864"/>
      <c r="K108" s="1867">
        <f t="shared" si="1"/>
        <v>0</v>
      </c>
      <c r="L108" s="1864"/>
      <c r="M108" s="1866"/>
      <c r="N108" s="1863"/>
      <c r="O108" s="1864"/>
      <c r="P108" s="1867">
        <f t="shared" si="2"/>
        <v>0</v>
      </c>
      <c r="Q108" s="1864"/>
      <c r="R108" s="1866"/>
      <c r="S108" s="1863"/>
      <c r="T108" s="1864"/>
      <c r="U108" s="1867">
        <f t="shared" si="3"/>
        <v>0</v>
      </c>
      <c r="V108" s="1864"/>
      <c r="W108" s="1866"/>
      <c r="X108" s="1863"/>
      <c r="Y108" s="1864"/>
      <c r="Z108" s="1867">
        <f t="shared" si="4"/>
        <v>0</v>
      </c>
      <c r="AA108" s="1868">
        <f t="shared" si="5"/>
        <v>0</v>
      </c>
      <c r="AB108" s="1869" t="str">
        <f t="shared" si="6"/>
        <v/>
      </c>
      <c r="AC108" s="690"/>
      <c r="AD108" s="1580" t="str">
        <f t="shared" si="7"/>
        <v/>
      </c>
      <c r="AE108" s="1581">
        <f t="shared" si="8"/>
        <v>0</v>
      </c>
      <c r="AF108" s="1581">
        <f t="shared" si="9"/>
        <v>0</v>
      </c>
      <c r="AG108" s="1581">
        <f t="shared" si="10"/>
        <v>0</v>
      </c>
      <c r="AH108" s="1581">
        <f t="shared" si="11"/>
        <v>0</v>
      </c>
      <c r="AI108" s="1582">
        <f t="shared" si="12"/>
        <v>0</v>
      </c>
      <c r="AJ108" s="1583">
        <f t="shared" si="13"/>
        <v>1</v>
      </c>
      <c r="AK108" s="1581">
        <f t="shared" si="14"/>
        <v>0</v>
      </c>
      <c r="AL108" s="1584" t="e">
        <f t="shared" si="15"/>
        <v>#DIV/0!</v>
      </c>
      <c r="AM108" s="1188"/>
      <c r="AN108" s="1585">
        <f t="shared" si="16"/>
        <v>0</v>
      </c>
      <c r="AO108" s="1583">
        <f t="shared" si="17"/>
        <v>0</v>
      </c>
      <c r="AP108" s="1583">
        <f t="shared" si="18"/>
        <v>0</v>
      </c>
      <c r="AQ108" s="1583">
        <f t="shared" si="19"/>
        <v>0</v>
      </c>
      <c r="AR108" s="1586">
        <f t="shared" si="20"/>
        <v>0</v>
      </c>
      <c r="AT108" s="1587">
        <f t="shared" si="21"/>
        <v>0</v>
      </c>
      <c r="AU108" s="1583">
        <f t="shared" si="22"/>
        <v>0</v>
      </c>
      <c r="AV108" s="1583">
        <f t="shared" si="23"/>
        <v>0</v>
      </c>
      <c r="AW108" s="1583">
        <f t="shared" si="24"/>
        <v>0</v>
      </c>
      <c r="AX108" s="1583">
        <f t="shared" si="25"/>
        <v>0</v>
      </c>
      <c r="AY108" s="1588">
        <f t="shared" si="26"/>
        <v>0</v>
      </c>
      <c r="AZ108" s="1189"/>
      <c r="BA108" s="1587">
        <f t="shared" si="27"/>
        <v>0</v>
      </c>
      <c r="BB108" s="1583">
        <f t="shared" si="28"/>
        <v>0</v>
      </c>
      <c r="BC108" s="1583">
        <f t="shared" si="29"/>
        <v>0</v>
      </c>
      <c r="BD108" s="1583">
        <f t="shared" si="30"/>
        <v>0</v>
      </c>
      <c r="BE108" s="1588">
        <f t="shared" si="31"/>
        <v>0</v>
      </c>
      <c r="BG108" s="1581">
        <f t="shared" si="32"/>
        <v>43101</v>
      </c>
      <c r="BH108" s="1581">
        <f t="shared" si="33"/>
        <v>43101</v>
      </c>
      <c r="BI108" s="1581">
        <f t="shared" si="34"/>
        <v>43101</v>
      </c>
      <c r="BJ108" s="1581">
        <f t="shared" si="35"/>
        <v>0</v>
      </c>
      <c r="BL108" s="1585">
        <f t="shared" si="36"/>
        <v>0</v>
      </c>
      <c r="BM108" s="1581">
        <f t="shared" si="37"/>
        <v>0</v>
      </c>
      <c r="BN108" s="1581">
        <f t="shared" si="38"/>
        <v>0</v>
      </c>
      <c r="BO108" s="1589">
        <f t="shared" si="39"/>
        <v>0</v>
      </c>
      <c r="BP108" s="1514"/>
    </row>
    <row r="109" spans="1:68" ht="30" customHeight="1">
      <c r="A109" s="1577"/>
      <c r="B109" s="1577"/>
      <c r="C109" s="1603"/>
      <c r="D109" s="1578"/>
      <c r="E109" s="1863"/>
      <c r="F109" s="1864"/>
      <c r="G109" s="1865">
        <f t="shared" si="0"/>
        <v>0</v>
      </c>
      <c r="H109" s="1864"/>
      <c r="I109" s="1866"/>
      <c r="J109" s="1864"/>
      <c r="K109" s="1867">
        <f t="shared" si="1"/>
        <v>0</v>
      </c>
      <c r="L109" s="1864"/>
      <c r="M109" s="1866"/>
      <c r="N109" s="1863"/>
      <c r="O109" s="1864"/>
      <c r="P109" s="1867">
        <f t="shared" si="2"/>
        <v>0</v>
      </c>
      <c r="Q109" s="1864"/>
      <c r="R109" s="1866"/>
      <c r="S109" s="1863"/>
      <c r="T109" s="1864"/>
      <c r="U109" s="1867">
        <f t="shared" si="3"/>
        <v>0</v>
      </c>
      <c r="V109" s="1864"/>
      <c r="W109" s="1866"/>
      <c r="X109" s="1863"/>
      <c r="Y109" s="1864"/>
      <c r="Z109" s="1867">
        <f t="shared" si="4"/>
        <v>0</v>
      </c>
      <c r="AA109" s="1868">
        <f t="shared" si="5"/>
        <v>0</v>
      </c>
      <c r="AB109" s="1869" t="str">
        <f t="shared" si="6"/>
        <v/>
      </c>
      <c r="AC109" s="690"/>
      <c r="AD109" s="1580" t="str">
        <f t="shared" si="7"/>
        <v/>
      </c>
      <c r="AE109" s="1581">
        <f t="shared" si="8"/>
        <v>0</v>
      </c>
      <c r="AF109" s="1581">
        <f t="shared" si="9"/>
        <v>0</v>
      </c>
      <c r="AG109" s="1581">
        <f t="shared" si="10"/>
        <v>0</v>
      </c>
      <c r="AH109" s="1581">
        <f t="shared" si="11"/>
        <v>0</v>
      </c>
      <c r="AI109" s="1582">
        <f t="shared" si="12"/>
        <v>0</v>
      </c>
      <c r="AJ109" s="1583">
        <f t="shared" si="13"/>
        <v>1</v>
      </c>
      <c r="AK109" s="1581">
        <f t="shared" si="14"/>
        <v>0</v>
      </c>
      <c r="AL109" s="1584" t="e">
        <f t="shared" si="15"/>
        <v>#DIV/0!</v>
      </c>
      <c r="AM109" s="1188"/>
      <c r="AN109" s="1585">
        <f t="shared" si="16"/>
        <v>0</v>
      </c>
      <c r="AO109" s="1583">
        <f t="shared" si="17"/>
        <v>0</v>
      </c>
      <c r="AP109" s="1583">
        <f t="shared" si="18"/>
        <v>0</v>
      </c>
      <c r="AQ109" s="1583">
        <f t="shared" si="19"/>
        <v>0</v>
      </c>
      <c r="AR109" s="1586">
        <f t="shared" si="20"/>
        <v>0</v>
      </c>
      <c r="AT109" s="1587">
        <f t="shared" si="21"/>
        <v>0</v>
      </c>
      <c r="AU109" s="1583">
        <f t="shared" si="22"/>
        <v>0</v>
      </c>
      <c r="AV109" s="1583">
        <f t="shared" si="23"/>
        <v>0</v>
      </c>
      <c r="AW109" s="1583">
        <f t="shared" si="24"/>
        <v>0</v>
      </c>
      <c r="AX109" s="1583">
        <f t="shared" si="25"/>
        <v>0</v>
      </c>
      <c r="AY109" s="1588">
        <f t="shared" si="26"/>
        <v>0</v>
      </c>
      <c r="AZ109" s="1189"/>
      <c r="BA109" s="1587">
        <f t="shared" si="27"/>
        <v>0</v>
      </c>
      <c r="BB109" s="1583">
        <f t="shared" si="28"/>
        <v>0</v>
      </c>
      <c r="BC109" s="1583">
        <f t="shared" si="29"/>
        <v>0</v>
      </c>
      <c r="BD109" s="1583">
        <f t="shared" si="30"/>
        <v>0</v>
      </c>
      <c r="BE109" s="1588">
        <f t="shared" si="31"/>
        <v>0</v>
      </c>
      <c r="BG109" s="1581">
        <f t="shared" si="32"/>
        <v>43101</v>
      </c>
      <c r="BH109" s="1581">
        <f t="shared" si="33"/>
        <v>43101</v>
      </c>
      <c r="BI109" s="1581">
        <f t="shared" si="34"/>
        <v>43101</v>
      </c>
      <c r="BJ109" s="1581">
        <f t="shared" si="35"/>
        <v>0</v>
      </c>
      <c r="BL109" s="1585">
        <f t="shared" si="36"/>
        <v>0</v>
      </c>
      <c r="BM109" s="1581">
        <f t="shared" si="37"/>
        <v>0</v>
      </c>
      <c r="BN109" s="1581">
        <f t="shared" si="38"/>
        <v>0</v>
      </c>
      <c r="BO109" s="1589">
        <f t="shared" si="39"/>
        <v>0</v>
      </c>
      <c r="BP109" s="1514"/>
    </row>
    <row r="110" spans="1:68" ht="30" customHeight="1">
      <c r="A110" s="1577"/>
      <c r="B110" s="1577"/>
      <c r="C110" s="1603"/>
      <c r="D110" s="1578"/>
      <c r="E110" s="1863"/>
      <c r="F110" s="1864"/>
      <c r="G110" s="1865">
        <f t="shared" si="0"/>
        <v>0</v>
      </c>
      <c r="H110" s="1864"/>
      <c r="I110" s="1866"/>
      <c r="J110" s="1864"/>
      <c r="K110" s="1867">
        <f t="shared" si="1"/>
        <v>0</v>
      </c>
      <c r="L110" s="1864"/>
      <c r="M110" s="1866"/>
      <c r="N110" s="1863"/>
      <c r="O110" s="1864"/>
      <c r="P110" s="1867">
        <f t="shared" si="2"/>
        <v>0</v>
      </c>
      <c r="Q110" s="1864"/>
      <c r="R110" s="1866"/>
      <c r="S110" s="1863"/>
      <c r="T110" s="1864"/>
      <c r="U110" s="1867">
        <f t="shared" si="3"/>
        <v>0</v>
      </c>
      <c r="V110" s="1864"/>
      <c r="W110" s="1866"/>
      <c r="X110" s="1863"/>
      <c r="Y110" s="1864"/>
      <c r="Z110" s="1867">
        <f t="shared" si="4"/>
        <v>0</v>
      </c>
      <c r="AA110" s="1868">
        <f t="shared" si="5"/>
        <v>0</v>
      </c>
      <c r="AB110" s="1869" t="str">
        <f t="shared" si="6"/>
        <v/>
      </c>
      <c r="AC110" s="690"/>
      <c r="AD110" s="1580" t="str">
        <f t="shared" si="7"/>
        <v/>
      </c>
      <c r="AE110" s="1581">
        <f t="shared" si="8"/>
        <v>0</v>
      </c>
      <c r="AF110" s="1581">
        <f t="shared" si="9"/>
        <v>0</v>
      </c>
      <c r="AG110" s="1581">
        <f t="shared" si="10"/>
        <v>0</v>
      </c>
      <c r="AH110" s="1581">
        <f t="shared" si="11"/>
        <v>0</v>
      </c>
      <c r="AI110" s="1582">
        <f t="shared" si="12"/>
        <v>0</v>
      </c>
      <c r="AJ110" s="1583">
        <f t="shared" si="13"/>
        <v>1</v>
      </c>
      <c r="AK110" s="1581">
        <f t="shared" si="14"/>
        <v>0</v>
      </c>
      <c r="AL110" s="1584" t="e">
        <f t="shared" si="15"/>
        <v>#DIV/0!</v>
      </c>
      <c r="AM110" s="1188"/>
      <c r="AN110" s="1585">
        <f t="shared" si="16"/>
        <v>0</v>
      </c>
      <c r="AO110" s="1583">
        <f t="shared" si="17"/>
        <v>0</v>
      </c>
      <c r="AP110" s="1583">
        <f t="shared" si="18"/>
        <v>0</v>
      </c>
      <c r="AQ110" s="1583">
        <f t="shared" si="19"/>
        <v>0</v>
      </c>
      <c r="AR110" s="1586">
        <f t="shared" si="20"/>
        <v>0</v>
      </c>
      <c r="AT110" s="1587">
        <f t="shared" si="21"/>
        <v>0</v>
      </c>
      <c r="AU110" s="1583">
        <f t="shared" si="22"/>
        <v>0</v>
      </c>
      <c r="AV110" s="1583">
        <f t="shared" si="23"/>
        <v>0</v>
      </c>
      <c r="AW110" s="1583">
        <f t="shared" si="24"/>
        <v>0</v>
      </c>
      <c r="AX110" s="1583">
        <f t="shared" si="25"/>
        <v>0</v>
      </c>
      <c r="AY110" s="1588">
        <f t="shared" si="26"/>
        <v>0</v>
      </c>
      <c r="AZ110" s="1189"/>
      <c r="BA110" s="1587">
        <f t="shared" si="27"/>
        <v>0</v>
      </c>
      <c r="BB110" s="1583">
        <f t="shared" si="28"/>
        <v>0</v>
      </c>
      <c r="BC110" s="1583">
        <f t="shared" si="29"/>
        <v>0</v>
      </c>
      <c r="BD110" s="1583">
        <f t="shared" si="30"/>
        <v>0</v>
      </c>
      <c r="BE110" s="1588">
        <f t="shared" si="31"/>
        <v>0</v>
      </c>
      <c r="BG110" s="1581">
        <f t="shared" si="32"/>
        <v>43101</v>
      </c>
      <c r="BH110" s="1581">
        <f t="shared" si="33"/>
        <v>43101</v>
      </c>
      <c r="BI110" s="1581">
        <f t="shared" si="34"/>
        <v>43101</v>
      </c>
      <c r="BJ110" s="1581">
        <f t="shared" si="35"/>
        <v>0</v>
      </c>
      <c r="BL110" s="1585">
        <f t="shared" si="36"/>
        <v>0</v>
      </c>
      <c r="BM110" s="1581">
        <f t="shared" si="37"/>
        <v>0</v>
      </c>
      <c r="BN110" s="1581">
        <f t="shared" si="38"/>
        <v>0</v>
      </c>
      <c r="BO110" s="1589">
        <f t="shared" si="39"/>
        <v>0</v>
      </c>
      <c r="BP110" s="1514"/>
    </row>
    <row r="111" spans="1:68" ht="30" customHeight="1">
      <c r="A111" s="1577"/>
      <c r="B111" s="1577"/>
      <c r="C111" s="1603"/>
      <c r="D111" s="1578"/>
      <c r="E111" s="1863"/>
      <c r="F111" s="1864"/>
      <c r="G111" s="1865">
        <f t="shared" si="0"/>
        <v>0</v>
      </c>
      <c r="H111" s="1864"/>
      <c r="I111" s="1866"/>
      <c r="J111" s="1864"/>
      <c r="K111" s="1867">
        <f t="shared" si="1"/>
        <v>0</v>
      </c>
      <c r="L111" s="1864"/>
      <c r="M111" s="1866"/>
      <c r="N111" s="1863"/>
      <c r="O111" s="1864"/>
      <c r="P111" s="1867">
        <f t="shared" si="2"/>
        <v>0</v>
      </c>
      <c r="Q111" s="1864"/>
      <c r="R111" s="1866"/>
      <c r="S111" s="1863"/>
      <c r="T111" s="1864"/>
      <c r="U111" s="1867">
        <f t="shared" si="3"/>
        <v>0</v>
      </c>
      <c r="V111" s="1864"/>
      <c r="W111" s="1866"/>
      <c r="X111" s="1863"/>
      <c r="Y111" s="1864"/>
      <c r="Z111" s="1867">
        <f t="shared" si="4"/>
        <v>0</v>
      </c>
      <c r="AA111" s="1868">
        <f t="shared" si="5"/>
        <v>0</v>
      </c>
      <c r="AB111" s="1869" t="str">
        <f t="shared" si="6"/>
        <v/>
      </c>
      <c r="AC111" s="690"/>
      <c r="AD111" s="1580" t="str">
        <f t="shared" si="7"/>
        <v/>
      </c>
      <c r="AE111" s="1581">
        <f t="shared" si="8"/>
        <v>0</v>
      </c>
      <c r="AF111" s="1581">
        <f t="shared" si="9"/>
        <v>0</v>
      </c>
      <c r="AG111" s="1581">
        <f t="shared" si="10"/>
        <v>0</v>
      </c>
      <c r="AH111" s="1581">
        <f t="shared" si="11"/>
        <v>0</v>
      </c>
      <c r="AI111" s="1582">
        <f t="shared" si="12"/>
        <v>0</v>
      </c>
      <c r="AJ111" s="1583">
        <f t="shared" si="13"/>
        <v>1</v>
      </c>
      <c r="AK111" s="1581">
        <f t="shared" si="14"/>
        <v>0</v>
      </c>
      <c r="AL111" s="1584" t="e">
        <f t="shared" si="15"/>
        <v>#DIV/0!</v>
      </c>
      <c r="AM111" s="1188"/>
      <c r="AN111" s="1585">
        <f t="shared" si="16"/>
        <v>0</v>
      </c>
      <c r="AO111" s="1583">
        <f t="shared" si="17"/>
        <v>0</v>
      </c>
      <c r="AP111" s="1583">
        <f t="shared" si="18"/>
        <v>0</v>
      </c>
      <c r="AQ111" s="1583">
        <f t="shared" si="19"/>
        <v>0</v>
      </c>
      <c r="AR111" s="1586">
        <f t="shared" si="20"/>
        <v>0</v>
      </c>
      <c r="AT111" s="1587">
        <f t="shared" si="21"/>
        <v>0</v>
      </c>
      <c r="AU111" s="1583">
        <f t="shared" si="22"/>
        <v>0</v>
      </c>
      <c r="AV111" s="1583">
        <f t="shared" si="23"/>
        <v>0</v>
      </c>
      <c r="AW111" s="1583">
        <f t="shared" si="24"/>
        <v>0</v>
      </c>
      <c r="AX111" s="1583">
        <f t="shared" si="25"/>
        <v>0</v>
      </c>
      <c r="AY111" s="1588">
        <f t="shared" si="26"/>
        <v>0</v>
      </c>
      <c r="AZ111" s="1189"/>
      <c r="BA111" s="1587">
        <f t="shared" si="27"/>
        <v>0</v>
      </c>
      <c r="BB111" s="1583">
        <f t="shared" si="28"/>
        <v>0</v>
      </c>
      <c r="BC111" s="1583">
        <f t="shared" si="29"/>
        <v>0</v>
      </c>
      <c r="BD111" s="1583">
        <f t="shared" si="30"/>
        <v>0</v>
      </c>
      <c r="BE111" s="1588">
        <f t="shared" si="31"/>
        <v>0</v>
      </c>
      <c r="BG111" s="1581">
        <f t="shared" si="32"/>
        <v>43101</v>
      </c>
      <c r="BH111" s="1581">
        <f t="shared" si="33"/>
        <v>43101</v>
      </c>
      <c r="BI111" s="1581">
        <f t="shared" si="34"/>
        <v>43101</v>
      </c>
      <c r="BJ111" s="1581">
        <f t="shared" si="35"/>
        <v>0</v>
      </c>
      <c r="BL111" s="1585">
        <f t="shared" si="36"/>
        <v>0</v>
      </c>
      <c r="BM111" s="1581">
        <f t="shared" si="37"/>
        <v>0</v>
      </c>
      <c r="BN111" s="1581">
        <f t="shared" si="38"/>
        <v>0</v>
      </c>
      <c r="BO111" s="1589">
        <f t="shared" si="39"/>
        <v>0</v>
      </c>
      <c r="BP111" s="1514"/>
    </row>
    <row r="112" spans="1:68" ht="30" customHeight="1">
      <c r="A112" s="1577"/>
      <c r="B112" s="1577"/>
      <c r="C112" s="1603"/>
      <c r="D112" s="1578"/>
      <c r="E112" s="1863"/>
      <c r="F112" s="1864"/>
      <c r="G112" s="1865">
        <f t="shared" si="0"/>
        <v>0</v>
      </c>
      <c r="H112" s="1864"/>
      <c r="I112" s="1866"/>
      <c r="J112" s="1864"/>
      <c r="K112" s="1867">
        <f t="shared" si="1"/>
        <v>0</v>
      </c>
      <c r="L112" s="1864"/>
      <c r="M112" s="1866"/>
      <c r="N112" s="1863"/>
      <c r="O112" s="1864"/>
      <c r="P112" s="1867">
        <f t="shared" si="2"/>
        <v>0</v>
      </c>
      <c r="Q112" s="1864"/>
      <c r="R112" s="1866"/>
      <c r="S112" s="1863"/>
      <c r="T112" s="1864"/>
      <c r="U112" s="1867">
        <f t="shared" si="3"/>
        <v>0</v>
      </c>
      <c r="V112" s="1864"/>
      <c r="W112" s="1866"/>
      <c r="X112" s="1863"/>
      <c r="Y112" s="1864"/>
      <c r="Z112" s="1867">
        <f t="shared" si="4"/>
        <v>0</v>
      </c>
      <c r="AA112" s="1868">
        <f t="shared" si="5"/>
        <v>0</v>
      </c>
      <c r="AB112" s="1869" t="str">
        <f t="shared" si="6"/>
        <v/>
      </c>
      <c r="AC112" s="690"/>
      <c r="AD112" s="1580" t="str">
        <f t="shared" si="7"/>
        <v/>
      </c>
      <c r="AE112" s="1581">
        <f t="shared" si="8"/>
        <v>0</v>
      </c>
      <c r="AF112" s="1581">
        <f t="shared" si="9"/>
        <v>0</v>
      </c>
      <c r="AG112" s="1581">
        <f t="shared" si="10"/>
        <v>0</v>
      </c>
      <c r="AH112" s="1581">
        <f t="shared" si="11"/>
        <v>0</v>
      </c>
      <c r="AI112" s="1582">
        <f t="shared" si="12"/>
        <v>0</v>
      </c>
      <c r="AJ112" s="1583">
        <f t="shared" si="13"/>
        <v>1</v>
      </c>
      <c r="AK112" s="1581">
        <f t="shared" si="14"/>
        <v>0</v>
      </c>
      <c r="AL112" s="1584" t="e">
        <f t="shared" si="15"/>
        <v>#DIV/0!</v>
      </c>
      <c r="AM112" s="1188"/>
      <c r="AN112" s="1585">
        <f t="shared" si="16"/>
        <v>0</v>
      </c>
      <c r="AO112" s="1583">
        <f t="shared" si="17"/>
        <v>0</v>
      </c>
      <c r="AP112" s="1583">
        <f t="shared" si="18"/>
        <v>0</v>
      </c>
      <c r="AQ112" s="1583">
        <f t="shared" si="19"/>
        <v>0</v>
      </c>
      <c r="AR112" s="1586">
        <f t="shared" si="20"/>
        <v>0</v>
      </c>
      <c r="AT112" s="1587">
        <f t="shared" si="21"/>
        <v>0</v>
      </c>
      <c r="AU112" s="1583">
        <f t="shared" si="22"/>
        <v>0</v>
      </c>
      <c r="AV112" s="1583">
        <f t="shared" si="23"/>
        <v>0</v>
      </c>
      <c r="AW112" s="1583">
        <f t="shared" si="24"/>
        <v>0</v>
      </c>
      <c r="AX112" s="1583">
        <f t="shared" si="25"/>
        <v>0</v>
      </c>
      <c r="AY112" s="1588">
        <f t="shared" si="26"/>
        <v>0</v>
      </c>
      <c r="AZ112" s="1189"/>
      <c r="BA112" s="1587">
        <f t="shared" si="27"/>
        <v>0</v>
      </c>
      <c r="BB112" s="1583">
        <f t="shared" si="28"/>
        <v>0</v>
      </c>
      <c r="BC112" s="1583">
        <f t="shared" si="29"/>
        <v>0</v>
      </c>
      <c r="BD112" s="1583">
        <f t="shared" si="30"/>
        <v>0</v>
      </c>
      <c r="BE112" s="1588">
        <f t="shared" si="31"/>
        <v>0</v>
      </c>
      <c r="BG112" s="1581">
        <f t="shared" si="32"/>
        <v>43101</v>
      </c>
      <c r="BH112" s="1581">
        <f t="shared" si="33"/>
        <v>43101</v>
      </c>
      <c r="BI112" s="1581">
        <f t="shared" si="34"/>
        <v>43101</v>
      </c>
      <c r="BJ112" s="1581">
        <f t="shared" si="35"/>
        <v>0</v>
      </c>
      <c r="BL112" s="1585">
        <f t="shared" si="36"/>
        <v>0</v>
      </c>
      <c r="BM112" s="1581">
        <f t="shared" si="37"/>
        <v>0</v>
      </c>
      <c r="BN112" s="1581">
        <f t="shared" si="38"/>
        <v>0</v>
      </c>
      <c r="BO112" s="1589">
        <f t="shared" si="39"/>
        <v>0</v>
      </c>
      <c r="BP112" s="1514"/>
    </row>
    <row r="113" spans="1:68" ht="30" customHeight="1">
      <c r="A113" s="1577"/>
      <c r="B113" s="1577"/>
      <c r="C113" s="1603"/>
      <c r="D113" s="1578"/>
      <c r="E113" s="1863"/>
      <c r="F113" s="1864"/>
      <c r="G113" s="1865">
        <f t="shared" si="0"/>
        <v>0</v>
      </c>
      <c r="H113" s="1864"/>
      <c r="I113" s="1866"/>
      <c r="J113" s="1864"/>
      <c r="K113" s="1867">
        <f t="shared" si="1"/>
        <v>0</v>
      </c>
      <c r="L113" s="1864"/>
      <c r="M113" s="1866"/>
      <c r="N113" s="1863"/>
      <c r="O113" s="1864"/>
      <c r="P113" s="1867">
        <f t="shared" si="2"/>
        <v>0</v>
      </c>
      <c r="Q113" s="1864"/>
      <c r="R113" s="1866"/>
      <c r="S113" s="1863"/>
      <c r="T113" s="1864"/>
      <c r="U113" s="1867">
        <f t="shared" si="3"/>
        <v>0</v>
      </c>
      <c r="V113" s="1864"/>
      <c r="W113" s="1866"/>
      <c r="X113" s="1863"/>
      <c r="Y113" s="1864"/>
      <c r="Z113" s="1867">
        <f t="shared" si="4"/>
        <v>0</v>
      </c>
      <c r="AA113" s="1868">
        <f t="shared" si="5"/>
        <v>0</v>
      </c>
      <c r="AB113" s="1869" t="str">
        <f t="shared" si="6"/>
        <v/>
      </c>
      <c r="AC113" s="690"/>
      <c r="AD113" s="1580" t="str">
        <f t="shared" si="7"/>
        <v/>
      </c>
      <c r="AE113" s="1581">
        <f t="shared" si="8"/>
        <v>0</v>
      </c>
      <c r="AF113" s="1581">
        <f t="shared" si="9"/>
        <v>0</v>
      </c>
      <c r="AG113" s="1581">
        <f t="shared" si="10"/>
        <v>0</v>
      </c>
      <c r="AH113" s="1581">
        <f t="shared" si="11"/>
        <v>0</v>
      </c>
      <c r="AI113" s="1582">
        <f t="shared" si="12"/>
        <v>0</v>
      </c>
      <c r="AJ113" s="1583">
        <f t="shared" si="13"/>
        <v>1</v>
      </c>
      <c r="AK113" s="1581">
        <f t="shared" si="14"/>
        <v>0</v>
      </c>
      <c r="AL113" s="1584" t="e">
        <f t="shared" si="15"/>
        <v>#DIV/0!</v>
      </c>
      <c r="AM113" s="1188"/>
      <c r="AN113" s="1585">
        <f t="shared" si="16"/>
        <v>0</v>
      </c>
      <c r="AO113" s="1583">
        <f t="shared" si="17"/>
        <v>0</v>
      </c>
      <c r="AP113" s="1583">
        <f t="shared" si="18"/>
        <v>0</v>
      </c>
      <c r="AQ113" s="1583">
        <f t="shared" si="19"/>
        <v>0</v>
      </c>
      <c r="AR113" s="1586">
        <f t="shared" si="20"/>
        <v>0</v>
      </c>
      <c r="AT113" s="1587">
        <f t="shared" si="21"/>
        <v>0</v>
      </c>
      <c r="AU113" s="1583">
        <f t="shared" si="22"/>
        <v>0</v>
      </c>
      <c r="AV113" s="1583">
        <f t="shared" si="23"/>
        <v>0</v>
      </c>
      <c r="AW113" s="1583">
        <f t="shared" si="24"/>
        <v>0</v>
      </c>
      <c r="AX113" s="1583">
        <f t="shared" si="25"/>
        <v>0</v>
      </c>
      <c r="AY113" s="1588">
        <f t="shared" si="26"/>
        <v>0</v>
      </c>
      <c r="AZ113" s="1189"/>
      <c r="BA113" s="1587">
        <f t="shared" si="27"/>
        <v>0</v>
      </c>
      <c r="BB113" s="1583">
        <f t="shared" si="28"/>
        <v>0</v>
      </c>
      <c r="BC113" s="1583">
        <f t="shared" si="29"/>
        <v>0</v>
      </c>
      <c r="BD113" s="1583">
        <f t="shared" si="30"/>
        <v>0</v>
      </c>
      <c r="BE113" s="1588">
        <f t="shared" si="31"/>
        <v>0</v>
      </c>
      <c r="BG113" s="1581">
        <f t="shared" si="32"/>
        <v>43101</v>
      </c>
      <c r="BH113" s="1581">
        <f t="shared" si="33"/>
        <v>43101</v>
      </c>
      <c r="BI113" s="1581">
        <f t="shared" si="34"/>
        <v>43101</v>
      </c>
      <c r="BJ113" s="1581">
        <f t="shared" si="35"/>
        <v>0</v>
      </c>
      <c r="BL113" s="1585">
        <f t="shared" si="36"/>
        <v>0</v>
      </c>
      <c r="BM113" s="1581">
        <f t="shared" si="37"/>
        <v>0</v>
      </c>
      <c r="BN113" s="1581">
        <f t="shared" si="38"/>
        <v>0</v>
      </c>
      <c r="BO113" s="1589">
        <f t="shared" si="39"/>
        <v>0</v>
      </c>
      <c r="BP113" s="1514"/>
    </row>
    <row r="114" spans="1:68" ht="30" customHeight="1">
      <c r="A114" s="1577"/>
      <c r="B114" s="1577"/>
      <c r="C114" s="1603"/>
      <c r="D114" s="1578"/>
      <c r="E114" s="1863"/>
      <c r="F114" s="1864"/>
      <c r="G114" s="1865">
        <f t="shared" si="0"/>
        <v>0</v>
      </c>
      <c r="H114" s="1864"/>
      <c r="I114" s="1866"/>
      <c r="J114" s="1864"/>
      <c r="K114" s="1867">
        <f t="shared" si="1"/>
        <v>0</v>
      </c>
      <c r="L114" s="1864"/>
      <c r="M114" s="1866"/>
      <c r="N114" s="1863"/>
      <c r="O114" s="1864"/>
      <c r="P114" s="1867">
        <f t="shared" si="2"/>
        <v>0</v>
      </c>
      <c r="Q114" s="1864"/>
      <c r="R114" s="1866"/>
      <c r="S114" s="1863"/>
      <c r="T114" s="1864"/>
      <c r="U114" s="1867">
        <f t="shared" si="3"/>
        <v>0</v>
      </c>
      <c r="V114" s="1864"/>
      <c r="W114" s="1866"/>
      <c r="X114" s="1863"/>
      <c r="Y114" s="1864"/>
      <c r="Z114" s="1867">
        <f t="shared" si="4"/>
        <v>0</v>
      </c>
      <c r="AA114" s="1868">
        <f t="shared" si="5"/>
        <v>0</v>
      </c>
      <c r="AB114" s="1869" t="str">
        <f t="shared" si="6"/>
        <v/>
      </c>
      <c r="AC114" s="690"/>
      <c r="AD114" s="1580" t="str">
        <f t="shared" si="7"/>
        <v/>
      </c>
      <c r="AE114" s="1581">
        <f t="shared" si="8"/>
        <v>0</v>
      </c>
      <c r="AF114" s="1581">
        <f t="shared" si="9"/>
        <v>0</v>
      </c>
      <c r="AG114" s="1581">
        <f t="shared" si="10"/>
        <v>0</v>
      </c>
      <c r="AH114" s="1581">
        <f t="shared" si="11"/>
        <v>0</v>
      </c>
      <c r="AI114" s="1582">
        <f t="shared" si="12"/>
        <v>0</v>
      </c>
      <c r="AJ114" s="1583">
        <f t="shared" si="13"/>
        <v>1</v>
      </c>
      <c r="AK114" s="1581">
        <f t="shared" si="14"/>
        <v>0</v>
      </c>
      <c r="AL114" s="1584" t="e">
        <f t="shared" si="15"/>
        <v>#DIV/0!</v>
      </c>
      <c r="AM114" s="1188"/>
      <c r="AN114" s="1585">
        <f t="shared" si="16"/>
        <v>0</v>
      </c>
      <c r="AO114" s="1583">
        <f t="shared" si="17"/>
        <v>0</v>
      </c>
      <c r="AP114" s="1583">
        <f t="shared" si="18"/>
        <v>0</v>
      </c>
      <c r="AQ114" s="1583">
        <f t="shared" si="19"/>
        <v>0</v>
      </c>
      <c r="AR114" s="1586">
        <f t="shared" si="20"/>
        <v>0</v>
      </c>
      <c r="AT114" s="1587">
        <f t="shared" si="21"/>
        <v>0</v>
      </c>
      <c r="AU114" s="1583">
        <f t="shared" si="22"/>
        <v>0</v>
      </c>
      <c r="AV114" s="1583">
        <f t="shared" si="23"/>
        <v>0</v>
      </c>
      <c r="AW114" s="1583">
        <f t="shared" si="24"/>
        <v>0</v>
      </c>
      <c r="AX114" s="1583">
        <f t="shared" si="25"/>
        <v>0</v>
      </c>
      <c r="AY114" s="1588">
        <f t="shared" si="26"/>
        <v>0</v>
      </c>
      <c r="AZ114" s="1189"/>
      <c r="BA114" s="1587">
        <f t="shared" si="27"/>
        <v>0</v>
      </c>
      <c r="BB114" s="1583">
        <f t="shared" si="28"/>
        <v>0</v>
      </c>
      <c r="BC114" s="1583">
        <f t="shared" si="29"/>
        <v>0</v>
      </c>
      <c r="BD114" s="1583">
        <f t="shared" si="30"/>
        <v>0</v>
      </c>
      <c r="BE114" s="1588">
        <f t="shared" si="31"/>
        <v>0</v>
      </c>
      <c r="BG114" s="1581">
        <f t="shared" si="32"/>
        <v>43101</v>
      </c>
      <c r="BH114" s="1581">
        <f t="shared" si="33"/>
        <v>43101</v>
      </c>
      <c r="BI114" s="1581">
        <f t="shared" si="34"/>
        <v>43101</v>
      </c>
      <c r="BJ114" s="1581">
        <f t="shared" si="35"/>
        <v>0</v>
      </c>
      <c r="BL114" s="1585">
        <f t="shared" si="36"/>
        <v>0</v>
      </c>
      <c r="BM114" s="1581">
        <f t="shared" si="37"/>
        <v>0</v>
      </c>
      <c r="BN114" s="1581">
        <f t="shared" si="38"/>
        <v>0</v>
      </c>
      <c r="BO114" s="1589">
        <f t="shared" si="39"/>
        <v>0</v>
      </c>
      <c r="BP114" s="1514"/>
    </row>
    <row r="115" spans="1:68" ht="30" customHeight="1">
      <c r="A115" s="1577"/>
      <c r="B115" s="1577"/>
      <c r="C115" s="1603"/>
      <c r="D115" s="1578"/>
      <c r="E115" s="1863"/>
      <c r="F115" s="1864"/>
      <c r="G115" s="1865">
        <f t="shared" si="0"/>
        <v>0</v>
      </c>
      <c r="H115" s="1864"/>
      <c r="I115" s="1866"/>
      <c r="J115" s="1864"/>
      <c r="K115" s="1867">
        <f t="shared" si="1"/>
        <v>0</v>
      </c>
      <c r="L115" s="1864"/>
      <c r="M115" s="1866"/>
      <c r="N115" s="1863"/>
      <c r="O115" s="1864"/>
      <c r="P115" s="1867">
        <f t="shared" si="2"/>
        <v>0</v>
      </c>
      <c r="Q115" s="1864"/>
      <c r="R115" s="1866"/>
      <c r="S115" s="1863"/>
      <c r="T115" s="1864"/>
      <c r="U115" s="1867">
        <f t="shared" si="3"/>
        <v>0</v>
      </c>
      <c r="V115" s="1864"/>
      <c r="W115" s="1866"/>
      <c r="X115" s="1863"/>
      <c r="Y115" s="1864"/>
      <c r="Z115" s="1867">
        <f t="shared" si="4"/>
        <v>0</v>
      </c>
      <c r="AA115" s="1868">
        <f t="shared" si="5"/>
        <v>0</v>
      </c>
      <c r="AB115" s="1869" t="str">
        <f t="shared" si="6"/>
        <v/>
      </c>
      <c r="AC115" s="690"/>
      <c r="AD115" s="1580" t="str">
        <f t="shared" si="7"/>
        <v/>
      </c>
      <c r="AE115" s="1581">
        <f t="shared" si="8"/>
        <v>0</v>
      </c>
      <c r="AF115" s="1581">
        <f t="shared" si="9"/>
        <v>0</v>
      </c>
      <c r="AG115" s="1581">
        <f t="shared" si="10"/>
        <v>0</v>
      </c>
      <c r="AH115" s="1581">
        <f t="shared" si="11"/>
        <v>0</v>
      </c>
      <c r="AI115" s="1582">
        <f t="shared" si="12"/>
        <v>0</v>
      </c>
      <c r="AJ115" s="1583">
        <f t="shared" si="13"/>
        <v>1</v>
      </c>
      <c r="AK115" s="1581">
        <f t="shared" si="14"/>
        <v>0</v>
      </c>
      <c r="AL115" s="1584" t="e">
        <f t="shared" si="15"/>
        <v>#DIV/0!</v>
      </c>
      <c r="AM115" s="1188"/>
      <c r="AN115" s="1585">
        <f t="shared" si="16"/>
        <v>0</v>
      </c>
      <c r="AO115" s="1583">
        <f t="shared" si="17"/>
        <v>0</v>
      </c>
      <c r="AP115" s="1583">
        <f t="shared" si="18"/>
        <v>0</v>
      </c>
      <c r="AQ115" s="1583">
        <f t="shared" si="19"/>
        <v>0</v>
      </c>
      <c r="AR115" s="1586">
        <f t="shared" si="20"/>
        <v>0</v>
      </c>
      <c r="AT115" s="1587">
        <f t="shared" si="21"/>
        <v>0</v>
      </c>
      <c r="AU115" s="1583">
        <f t="shared" si="22"/>
        <v>0</v>
      </c>
      <c r="AV115" s="1583">
        <f t="shared" si="23"/>
        <v>0</v>
      </c>
      <c r="AW115" s="1583">
        <f t="shared" si="24"/>
        <v>0</v>
      </c>
      <c r="AX115" s="1583">
        <f t="shared" si="25"/>
        <v>0</v>
      </c>
      <c r="AY115" s="1588">
        <f t="shared" si="26"/>
        <v>0</v>
      </c>
      <c r="AZ115" s="1189"/>
      <c r="BA115" s="1587">
        <f t="shared" si="27"/>
        <v>0</v>
      </c>
      <c r="BB115" s="1583">
        <f t="shared" si="28"/>
        <v>0</v>
      </c>
      <c r="BC115" s="1583">
        <f t="shared" si="29"/>
        <v>0</v>
      </c>
      <c r="BD115" s="1583">
        <f t="shared" si="30"/>
        <v>0</v>
      </c>
      <c r="BE115" s="1588">
        <f t="shared" si="31"/>
        <v>0</v>
      </c>
      <c r="BG115" s="1581">
        <f t="shared" si="32"/>
        <v>43101</v>
      </c>
      <c r="BH115" s="1581">
        <f t="shared" si="33"/>
        <v>43101</v>
      </c>
      <c r="BI115" s="1581">
        <f t="shared" si="34"/>
        <v>43101</v>
      </c>
      <c r="BJ115" s="1581">
        <f t="shared" si="35"/>
        <v>0</v>
      </c>
      <c r="BL115" s="1585">
        <f t="shared" si="36"/>
        <v>0</v>
      </c>
      <c r="BM115" s="1581">
        <f t="shared" si="37"/>
        <v>0</v>
      </c>
      <c r="BN115" s="1581">
        <f t="shared" si="38"/>
        <v>0</v>
      </c>
      <c r="BO115" s="1589">
        <f t="shared" si="39"/>
        <v>0</v>
      </c>
      <c r="BP115" s="1514"/>
    </row>
    <row r="116" spans="1:68" ht="30" customHeight="1">
      <c r="A116" s="1577"/>
      <c r="B116" s="1577"/>
      <c r="C116" s="1603"/>
      <c r="D116" s="1578"/>
      <c r="E116" s="1863"/>
      <c r="F116" s="1864"/>
      <c r="G116" s="1865">
        <f t="shared" si="0"/>
        <v>0</v>
      </c>
      <c r="H116" s="1864"/>
      <c r="I116" s="1866"/>
      <c r="J116" s="1864"/>
      <c r="K116" s="1867">
        <f t="shared" si="1"/>
        <v>0</v>
      </c>
      <c r="L116" s="1864"/>
      <c r="M116" s="1866"/>
      <c r="N116" s="1863"/>
      <c r="O116" s="1864"/>
      <c r="P116" s="1867">
        <f t="shared" si="2"/>
        <v>0</v>
      </c>
      <c r="Q116" s="1864"/>
      <c r="R116" s="1866"/>
      <c r="S116" s="1863"/>
      <c r="T116" s="1864"/>
      <c r="U116" s="1867">
        <f t="shared" si="3"/>
        <v>0</v>
      </c>
      <c r="V116" s="1864"/>
      <c r="W116" s="1866"/>
      <c r="X116" s="1863"/>
      <c r="Y116" s="1864"/>
      <c r="Z116" s="1867">
        <f t="shared" si="4"/>
        <v>0</v>
      </c>
      <c r="AA116" s="1868">
        <f t="shared" si="5"/>
        <v>0</v>
      </c>
      <c r="AB116" s="1869" t="str">
        <f t="shared" si="6"/>
        <v/>
      </c>
      <c r="AC116" s="690"/>
      <c r="AD116" s="1580" t="str">
        <f t="shared" si="7"/>
        <v/>
      </c>
      <c r="AE116" s="1581">
        <f t="shared" si="8"/>
        <v>0</v>
      </c>
      <c r="AF116" s="1581">
        <f t="shared" si="9"/>
        <v>0</v>
      </c>
      <c r="AG116" s="1581">
        <f t="shared" si="10"/>
        <v>0</v>
      </c>
      <c r="AH116" s="1581">
        <f t="shared" si="11"/>
        <v>0</v>
      </c>
      <c r="AI116" s="1582">
        <f t="shared" si="12"/>
        <v>0</v>
      </c>
      <c r="AJ116" s="1583">
        <f t="shared" si="13"/>
        <v>1</v>
      </c>
      <c r="AK116" s="1581">
        <f t="shared" si="14"/>
        <v>0</v>
      </c>
      <c r="AL116" s="1584" t="e">
        <f t="shared" si="15"/>
        <v>#DIV/0!</v>
      </c>
      <c r="AM116" s="1188"/>
      <c r="AN116" s="1585">
        <f t="shared" si="16"/>
        <v>0</v>
      </c>
      <c r="AO116" s="1583">
        <f t="shared" si="17"/>
        <v>0</v>
      </c>
      <c r="AP116" s="1583">
        <f t="shared" si="18"/>
        <v>0</v>
      </c>
      <c r="AQ116" s="1583">
        <f t="shared" si="19"/>
        <v>0</v>
      </c>
      <c r="AR116" s="1586">
        <f t="shared" si="20"/>
        <v>0</v>
      </c>
      <c r="AT116" s="1587">
        <f t="shared" si="21"/>
        <v>0</v>
      </c>
      <c r="AU116" s="1583">
        <f t="shared" si="22"/>
        <v>0</v>
      </c>
      <c r="AV116" s="1583">
        <f t="shared" si="23"/>
        <v>0</v>
      </c>
      <c r="AW116" s="1583">
        <f t="shared" si="24"/>
        <v>0</v>
      </c>
      <c r="AX116" s="1583">
        <f t="shared" si="25"/>
        <v>0</v>
      </c>
      <c r="AY116" s="1588">
        <f t="shared" si="26"/>
        <v>0</v>
      </c>
      <c r="AZ116" s="1189"/>
      <c r="BA116" s="1587">
        <f t="shared" si="27"/>
        <v>0</v>
      </c>
      <c r="BB116" s="1583">
        <f t="shared" si="28"/>
        <v>0</v>
      </c>
      <c r="BC116" s="1583">
        <f t="shared" si="29"/>
        <v>0</v>
      </c>
      <c r="BD116" s="1583">
        <f t="shared" si="30"/>
        <v>0</v>
      </c>
      <c r="BE116" s="1588">
        <f t="shared" si="31"/>
        <v>0</v>
      </c>
      <c r="BG116" s="1581">
        <f t="shared" si="32"/>
        <v>43101</v>
      </c>
      <c r="BH116" s="1581">
        <f t="shared" si="33"/>
        <v>43101</v>
      </c>
      <c r="BI116" s="1581">
        <f t="shared" si="34"/>
        <v>43101</v>
      </c>
      <c r="BJ116" s="1581">
        <f t="shared" si="35"/>
        <v>0</v>
      </c>
      <c r="BL116" s="1585">
        <f t="shared" si="36"/>
        <v>0</v>
      </c>
      <c r="BM116" s="1581">
        <f t="shared" si="37"/>
        <v>0</v>
      </c>
      <c r="BN116" s="1581">
        <f t="shared" si="38"/>
        <v>0</v>
      </c>
      <c r="BO116" s="1589">
        <f t="shared" si="39"/>
        <v>0</v>
      </c>
      <c r="BP116" s="1514"/>
    </row>
    <row r="117" spans="1:68" ht="30" customHeight="1">
      <c r="A117" s="1577"/>
      <c r="B117" s="1577"/>
      <c r="C117" s="1603"/>
      <c r="D117" s="1578"/>
      <c r="E117" s="1863"/>
      <c r="F117" s="1864"/>
      <c r="G117" s="1865">
        <f t="shared" si="0"/>
        <v>0</v>
      </c>
      <c r="H117" s="1864"/>
      <c r="I117" s="1866"/>
      <c r="J117" s="1864"/>
      <c r="K117" s="1867">
        <f t="shared" si="1"/>
        <v>0</v>
      </c>
      <c r="L117" s="1864"/>
      <c r="M117" s="1866"/>
      <c r="N117" s="1863"/>
      <c r="O117" s="1864"/>
      <c r="P117" s="1867">
        <f t="shared" si="2"/>
        <v>0</v>
      </c>
      <c r="Q117" s="1864"/>
      <c r="R117" s="1866"/>
      <c r="S117" s="1863"/>
      <c r="T117" s="1864"/>
      <c r="U117" s="1867">
        <f t="shared" si="3"/>
        <v>0</v>
      </c>
      <c r="V117" s="1864"/>
      <c r="W117" s="1866"/>
      <c r="X117" s="1863"/>
      <c r="Y117" s="1864"/>
      <c r="Z117" s="1867">
        <f t="shared" si="4"/>
        <v>0</v>
      </c>
      <c r="AA117" s="1868">
        <f t="shared" si="5"/>
        <v>0</v>
      </c>
      <c r="AB117" s="1869" t="str">
        <f t="shared" si="6"/>
        <v/>
      </c>
      <c r="AC117" s="690"/>
      <c r="AD117" s="1580" t="str">
        <f t="shared" si="7"/>
        <v/>
      </c>
      <c r="AE117" s="1581">
        <f t="shared" si="8"/>
        <v>0</v>
      </c>
      <c r="AF117" s="1581">
        <f t="shared" si="9"/>
        <v>0</v>
      </c>
      <c r="AG117" s="1581">
        <f t="shared" si="10"/>
        <v>0</v>
      </c>
      <c r="AH117" s="1581">
        <f t="shared" si="11"/>
        <v>0</v>
      </c>
      <c r="AI117" s="1582">
        <f t="shared" si="12"/>
        <v>0</v>
      </c>
      <c r="AJ117" s="1583">
        <f t="shared" si="13"/>
        <v>1</v>
      </c>
      <c r="AK117" s="1581">
        <f t="shared" si="14"/>
        <v>0</v>
      </c>
      <c r="AL117" s="1584" t="e">
        <f t="shared" si="15"/>
        <v>#DIV/0!</v>
      </c>
      <c r="AM117" s="1188"/>
      <c r="AN117" s="1585">
        <f t="shared" si="16"/>
        <v>0</v>
      </c>
      <c r="AO117" s="1583">
        <f t="shared" si="17"/>
        <v>0</v>
      </c>
      <c r="AP117" s="1583">
        <f t="shared" si="18"/>
        <v>0</v>
      </c>
      <c r="AQ117" s="1583">
        <f t="shared" si="19"/>
        <v>0</v>
      </c>
      <c r="AR117" s="1586">
        <f t="shared" si="20"/>
        <v>0</v>
      </c>
      <c r="AT117" s="1587">
        <f t="shared" si="21"/>
        <v>0</v>
      </c>
      <c r="AU117" s="1583">
        <f t="shared" si="22"/>
        <v>0</v>
      </c>
      <c r="AV117" s="1583">
        <f t="shared" si="23"/>
        <v>0</v>
      </c>
      <c r="AW117" s="1583">
        <f t="shared" si="24"/>
        <v>0</v>
      </c>
      <c r="AX117" s="1583">
        <f t="shared" si="25"/>
        <v>0</v>
      </c>
      <c r="AY117" s="1588">
        <f t="shared" si="26"/>
        <v>0</v>
      </c>
      <c r="AZ117" s="1189"/>
      <c r="BA117" s="1587">
        <f t="shared" si="27"/>
        <v>0</v>
      </c>
      <c r="BB117" s="1583">
        <f t="shared" si="28"/>
        <v>0</v>
      </c>
      <c r="BC117" s="1583">
        <f t="shared" si="29"/>
        <v>0</v>
      </c>
      <c r="BD117" s="1583">
        <f t="shared" si="30"/>
        <v>0</v>
      </c>
      <c r="BE117" s="1588">
        <f t="shared" si="31"/>
        <v>0</v>
      </c>
      <c r="BG117" s="1581">
        <f t="shared" si="32"/>
        <v>43101</v>
      </c>
      <c r="BH117" s="1581">
        <f t="shared" si="33"/>
        <v>43101</v>
      </c>
      <c r="BI117" s="1581">
        <f t="shared" si="34"/>
        <v>43101</v>
      </c>
      <c r="BJ117" s="1581">
        <f t="shared" si="35"/>
        <v>0</v>
      </c>
      <c r="BL117" s="1585">
        <f t="shared" si="36"/>
        <v>0</v>
      </c>
      <c r="BM117" s="1581">
        <f t="shared" si="37"/>
        <v>0</v>
      </c>
      <c r="BN117" s="1581">
        <f t="shared" si="38"/>
        <v>0</v>
      </c>
      <c r="BO117" s="1589">
        <f t="shared" si="39"/>
        <v>0</v>
      </c>
      <c r="BP117" s="1514"/>
    </row>
    <row r="118" spans="1:68" ht="30" customHeight="1">
      <c r="A118" s="1577"/>
      <c r="B118" s="1577"/>
      <c r="C118" s="1603"/>
      <c r="D118" s="1578"/>
      <c r="E118" s="1863"/>
      <c r="F118" s="1864"/>
      <c r="G118" s="1865">
        <f t="shared" si="0"/>
        <v>0</v>
      </c>
      <c r="H118" s="1864"/>
      <c r="I118" s="1866"/>
      <c r="J118" s="1864"/>
      <c r="K118" s="1867">
        <f t="shared" si="1"/>
        <v>0</v>
      </c>
      <c r="L118" s="1864"/>
      <c r="M118" s="1866"/>
      <c r="N118" s="1863"/>
      <c r="O118" s="1864"/>
      <c r="P118" s="1867">
        <f t="shared" si="2"/>
        <v>0</v>
      </c>
      <c r="Q118" s="1864"/>
      <c r="R118" s="1866"/>
      <c r="S118" s="1863"/>
      <c r="T118" s="1864"/>
      <c r="U118" s="1867">
        <f t="shared" si="3"/>
        <v>0</v>
      </c>
      <c r="V118" s="1864"/>
      <c r="W118" s="1866"/>
      <c r="X118" s="1863"/>
      <c r="Y118" s="1864"/>
      <c r="Z118" s="1867">
        <f t="shared" si="4"/>
        <v>0</v>
      </c>
      <c r="AA118" s="1868">
        <f t="shared" si="5"/>
        <v>0</v>
      </c>
      <c r="AB118" s="1869" t="str">
        <f t="shared" si="6"/>
        <v/>
      </c>
      <c r="AC118" s="690"/>
      <c r="AD118" s="1580" t="str">
        <f t="shared" si="7"/>
        <v/>
      </c>
      <c r="AE118" s="1581">
        <f t="shared" si="8"/>
        <v>0</v>
      </c>
      <c r="AF118" s="1581">
        <f t="shared" si="9"/>
        <v>0</v>
      </c>
      <c r="AG118" s="1581">
        <f t="shared" si="10"/>
        <v>0</v>
      </c>
      <c r="AH118" s="1581">
        <f t="shared" si="11"/>
        <v>0</v>
      </c>
      <c r="AI118" s="1582">
        <f t="shared" si="12"/>
        <v>0</v>
      </c>
      <c r="AJ118" s="1583">
        <f t="shared" si="13"/>
        <v>1</v>
      </c>
      <c r="AK118" s="1581">
        <f t="shared" si="14"/>
        <v>0</v>
      </c>
      <c r="AL118" s="1584" t="e">
        <f t="shared" si="15"/>
        <v>#DIV/0!</v>
      </c>
      <c r="AM118" s="690"/>
      <c r="AN118" s="1585">
        <f t="shared" si="16"/>
        <v>0</v>
      </c>
      <c r="AO118" s="1583">
        <f t="shared" si="17"/>
        <v>0</v>
      </c>
      <c r="AP118" s="1583">
        <f t="shared" si="18"/>
        <v>0</v>
      </c>
      <c r="AQ118" s="1583">
        <f t="shared" si="19"/>
        <v>0</v>
      </c>
      <c r="AR118" s="1586">
        <f t="shared" si="20"/>
        <v>0</v>
      </c>
      <c r="AT118" s="1587">
        <f t="shared" si="21"/>
        <v>0</v>
      </c>
      <c r="AU118" s="1583">
        <f t="shared" si="22"/>
        <v>0</v>
      </c>
      <c r="AV118" s="1583">
        <f t="shared" si="23"/>
        <v>0</v>
      </c>
      <c r="AW118" s="1583">
        <f t="shared" si="24"/>
        <v>0</v>
      </c>
      <c r="AX118" s="1583">
        <f t="shared" si="25"/>
        <v>0</v>
      </c>
      <c r="AY118" s="1588">
        <f t="shared" si="26"/>
        <v>0</v>
      </c>
      <c r="AZ118" s="1189"/>
      <c r="BA118" s="1587">
        <f t="shared" si="27"/>
        <v>0</v>
      </c>
      <c r="BB118" s="1583">
        <f t="shared" si="28"/>
        <v>0</v>
      </c>
      <c r="BC118" s="1583">
        <f t="shared" si="29"/>
        <v>0</v>
      </c>
      <c r="BD118" s="1583">
        <f t="shared" si="30"/>
        <v>0</v>
      </c>
      <c r="BE118" s="1588">
        <f t="shared" si="31"/>
        <v>0</v>
      </c>
      <c r="BG118" s="1581">
        <f t="shared" si="32"/>
        <v>43101</v>
      </c>
      <c r="BH118" s="1581">
        <f t="shared" si="33"/>
        <v>43101</v>
      </c>
      <c r="BI118" s="1581">
        <f t="shared" si="34"/>
        <v>43101</v>
      </c>
      <c r="BJ118" s="1581">
        <f t="shared" si="35"/>
        <v>0</v>
      </c>
      <c r="BL118" s="1585">
        <f t="shared" si="36"/>
        <v>0</v>
      </c>
      <c r="BM118" s="1581">
        <f t="shared" si="37"/>
        <v>0</v>
      </c>
      <c r="BN118" s="1581">
        <f t="shared" si="38"/>
        <v>0</v>
      </c>
      <c r="BO118" s="1589">
        <f t="shared" si="39"/>
        <v>0</v>
      </c>
      <c r="BP118" s="1514"/>
    </row>
    <row r="119" spans="1:68" ht="30" customHeight="1">
      <c r="BP119" s="1514"/>
    </row>
    <row r="120" spans="1:68" ht="30" customHeight="1">
      <c r="BP120" s="1514"/>
    </row>
    <row r="121" spans="1:68" ht="30" customHeight="1">
      <c r="BP121" s="1514"/>
    </row>
    <row r="122" spans="1:68" ht="30" customHeight="1">
      <c r="AC122" s="1190"/>
      <c r="AD122" s="1190"/>
      <c r="AE122" s="1190"/>
      <c r="AF122" s="1190"/>
      <c r="AG122" s="1190"/>
      <c r="AH122" s="1190"/>
      <c r="AI122" s="1190"/>
      <c r="AJ122" s="1190"/>
      <c r="AK122" s="1190"/>
      <c r="AL122" s="1190"/>
      <c r="AM122" s="1190"/>
      <c r="BP122" s="1514"/>
    </row>
    <row r="123" spans="1:68" ht="30" customHeight="1">
      <c r="BP123" s="1514"/>
    </row>
    <row r="124" spans="1:68" ht="30" customHeight="1">
      <c r="BP124" s="1514"/>
    </row>
    <row r="125" spans="1:68" ht="30" customHeight="1">
      <c r="BP125" s="1514"/>
    </row>
    <row r="126" spans="1:68" ht="30" customHeight="1">
      <c r="BP126" s="1514"/>
    </row>
    <row r="127" spans="1:68" ht="30" customHeight="1">
      <c r="BP127" s="1514"/>
    </row>
    <row r="128" spans="1:68" ht="30" customHeight="1">
      <c r="BP128" s="1514"/>
    </row>
    <row r="129" spans="68:68" ht="30" customHeight="1">
      <c r="BP129" s="1514"/>
    </row>
    <row r="130" spans="68:68" ht="30" customHeight="1">
      <c r="BP130" s="1514"/>
    </row>
    <row r="131" spans="68:68" ht="30" customHeight="1">
      <c r="BP131" s="1514"/>
    </row>
    <row r="132" spans="68:68" ht="30" customHeight="1">
      <c r="BP132" s="1514"/>
    </row>
    <row r="133" spans="68:68" ht="30" customHeight="1">
      <c r="BP133" s="1514"/>
    </row>
    <row r="134" spans="68:68" ht="30" customHeight="1"/>
    <row r="135" spans="68:68" ht="30" customHeight="1"/>
    <row r="136" spans="68:68" ht="30" customHeight="1"/>
    <row r="137" spans="68:68" ht="30" customHeight="1"/>
    <row r="138" spans="68:68" ht="30" customHeight="1"/>
    <row r="139" spans="68:68" ht="30" customHeight="1"/>
    <row r="140" spans="68:68" ht="30" customHeight="1"/>
    <row r="141" spans="68:68" ht="30" customHeight="1"/>
    <row r="142" spans="68:68" ht="30" customHeight="1"/>
  </sheetData>
  <sheetProtection password="CC3A" sheet="1" objects="1" scenarios="1" formatCells="0" formatColumns="0" formatRows="0"/>
  <mergeCells count="40">
    <mergeCell ref="L5:O5"/>
    <mergeCell ref="BQ2:BQ4"/>
    <mergeCell ref="A2:B2"/>
    <mergeCell ref="C2:D2"/>
    <mergeCell ref="R2:T2"/>
    <mergeCell ref="A5:A8"/>
    <mergeCell ref="B5:B8"/>
    <mergeCell ref="C5:C7"/>
    <mergeCell ref="D5:D8"/>
    <mergeCell ref="E5:E8"/>
    <mergeCell ref="F5:F8"/>
    <mergeCell ref="G5:G7"/>
    <mergeCell ref="H5:J5"/>
    <mergeCell ref="K5:K7"/>
    <mergeCell ref="AN5:AR7"/>
    <mergeCell ref="AT5:AX7"/>
    <mergeCell ref="AY5:AY7"/>
    <mergeCell ref="BA5:BD7"/>
    <mergeCell ref="P5:P7"/>
    <mergeCell ref="Q5:T5"/>
    <mergeCell ref="U5:U7"/>
    <mergeCell ref="V5:Y5"/>
    <mergeCell ref="Z5:Z7"/>
    <mergeCell ref="AA5:AB7"/>
    <mergeCell ref="BQ25:BQ26"/>
    <mergeCell ref="X1:Y1"/>
    <mergeCell ref="AK8:AL8"/>
    <mergeCell ref="BQ11:BQ12"/>
    <mergeCell ref="BQ13:BQ14"/>
    <mergeCell ref="BQ17:BQ18"/>
    <mergeCell ref="BQ20:BQ21"/>
    <mergeCell ref="BQ22:BQ23"/>
    <mergeCell ref="BE5:BE7"/>
    <mergeCell ref="BG5:BI7"/>
    <mergeCell ref="BJ5:BJ7"/>
    <mergeCell ref="BL5:BN7"/>
    <mergeCell ref="BO5:BO7"/>
    <mergeCell ref="BQ6:BQ9"/>
    <mergeCell ref="AC5:AC7"/>
    <mergeCell ref="AK5:AL5"/>
  </mergeCells>
  <conditionalFormatting sqref="AA9">
    <cfRule type="cellIs" dxfId="3" priority="4" operator="greaterThan">
      <formula>0.15</formula>
    </cfRule>
  </conditionalFormatting>
  <conditionalFormatting sqref="AA9">
    <cfRule type="containsText" dxfId="2" priority="3" operator="containsText" text="ja">
      <formula>NOT(ISERROR(SEARCH("ja",AA9)))</formula>
    </cfRule>
  </conditionalFormatting>
  <conditionalFormatting sqref="AA10:AA118">
    <cfRule type="cellIs" dxfId="1" priority="2" operator="greaterThan">
      <formula>0.15</formula>
    </cfRule>
  </conditionalFormatting>
  <conditionalFormatting sqref="AA10:AA118">
    <cfRule type="containsText" dxfId="0" priority="1" operator="containsText" text="ja">
      <formula>NOT(ISERROR(SEARCH("ja",AA10)))</formula>
    </cfRule>
  </conditionalFormatting>
  <dataValidations count="3">
    <dataValidation type="list" allowBlank="1" showInputMessage="1" showErrorMessage="1" sqref="E9:E118">
      <formula1>$AD$1:$AD$3</formula1>
    </dataValidation>
    <dataValidation type="list" allowBlank="1" showInputMessage="1" showErrorMessage="1" sqref="N9:N118 S9:S118 X9:X118">
      <formula1>$AC$1:$AC$2</formula1>
    </dataValidation>
    <dataValidation type="date" allowBlank="1" showErrorMessage="1" error="Achtung, das eingegebene Datum entspricht nicht dem MFA-Antragsjahr. Geben Sie Tag, Monat und das entsprechende Jahr ein!" sqref="F9:F118 H9:H118 J9:J118 L9:L118 O9:O118 Q9:Q118 T9:T118 V9:V118 Y9:Y118">
      <formula1>$AC$8</formula1>
      <formula2>$AC$8+365</formula2>
    </dataValidation>
  </dataValidations>
  <hyperlinks>
    <hyperlink ref="W1" location="Ergebnis!A1" display="◄"/>
    <hyperlink ref="X1:Y1" location="Weideblatt!A1" display="  ►"/>
  </hyperlinks>
  <pageMargins left="0.31496062992125984" right="0.23622047244094491" top="0.27559055118110237" bottom="0.23622047244094491" header="0.19685039370078741" footer="0.19685039370078741"/>
  <pageSetup paperSize="9" scale="95" pageOrder="overThenDown" orientation="landscape" blackAndWhite="1"/>
  <headerFooter>
    <oddFooter>&amp;L&amp;F&amp;C&amp;A&amp;R&amp;P von &amp;N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K62"/>
  <sheetViews>
    <sheetView showZeros="0" zoomScale="80" zoomScaleNormal="80" zoomScalePageLayoutView="80" workbookViewId="0">
      <selection activeCell="J1" sqref="J1"/>
    </sheetView>
  </sheetViews>
  <sheetFormatPr baseColWidth="10" defaultRowHeight="12.75"/>
  <cols>
    <col min="3" max="3" width="21.28515625" customWidth="1"/>
    <col min="4" max="4" width="6.7109375" customWidth="1"/>
    <col min="5" max="5" width="13" customWidth="1"/>
    <col min="6" max="6" width="12.28515625" customWidth="1"/>
    <col min="7" max="9" width="11.42578125" customWidth="1"/>
    <col min="10" max="11" width="20.85546875" customWidth="1"/>
  </cols>
  <sheetData>
    <row r="1" spans="1:11" ht="33.75" customHeight="1">
      <c r="B1" s="1191"/>
      <c r="C1" s="3295" t="s">
        <v>1505</v>
      </c>
      <c r="D1" s="3295"/>
      <c r="E1" s="3295"/>
      <c r="F1" s="3295"/>
      <c r="G1" s="1192">
        <f>Betrieb!E4</f>
        <v>2017</v>
      </c>
      <c r="I1" s="1191"/>
      <c r="J1" s="1193" t="s">
        <v>413</v>
      </c>
      <c r="K1" s="1193" t="s">
        <v>381</v>
      </c>
    </row>
    <row r="2" spans="1:11" ht="29.25" customHeight="1">
      <c r="C2" s="3296" t="s">
        <v>1506</v>
      </c>
      <c r="D2" s="3296"/>
      <c r="E2" s="3296"/>
      <c r="F2" s="3296"/>
      <c r="G2" s="3296"/>
      <c r="J2" s="1191"/>
    </row>
    <row r="3" spans="1:11" ht="22.5" customHeight="1">
      <c r="A3" s="1194" t="s">
        <v>417</v>
      </c>
      <c r="B3" s="3297">
        <f>Betrieb!B4</f>
        <v>0</v>
      </c>
      <c r="C3" s="3297"/>
      <c r="D3" s="3297"/>
      <c r="E3" s="1191"/>
      <c r="F3" s="1191"/>
      <c r="G3" s="1191"/>
      <c r="H3" s="1191"/>
      <c r="I3" s="1191"/>
      <c r="J3" s="1191"/>
    </row>
    <row r="4" spans="1:11" ht="22.5" customHeight="1">
      <c r="A4" s="1194" t="s">
        <v>418</v>
      </c>
      <c r="B4" s="3297">
        <f>Betrieb!B5</f>
        <v>0</v>
      </c>
      <c r="C4" s="3297"/>
      <c r="D4" s="3297"/>
      <c r="E4" s="1191"/>
      <c r="F4" s="1191"/>
      <c r="G4" s="3298" t="s">
        <v>1393</v>
      </c>
      <c r="H4" s="3298"/>
      <c r="I4" s="1191"/>
      <c r="J4" s="1191"/>
    </row>
    <row r="5" spans="1:11" ht="22.5" customHeight="1">
      <c r="A5" s="1194" t="s">
        <v>419</v>
      </c>
      <c r="B5" s="1195">
        <f>Betrieb!B6</f>
        <v>0</v>
      </c>
      <c r="C5" s="3299">
        <f>Betrieb!C6</f>
        <v>0</v>
      </c>
      <c r="D5" s="3299"/>
      <c r="G5" s="3300">
        <f>Betrieb!C3</f>
        <v>0</v>
      </c>
      <c r="H5" s="3300"/>
      <c r="I5" s="1191"/>
      <c r="J5" s="1191"/>
    </row>
    <row r="6" spans="1:11" s="2" customFormat="1" ht="30.75" customHeight="1">
      <c r="A6" s="1196" t="s">
        <v>1507</v>
      </c>
      <c r="B6" s="1197"/>
      <c r="D6" s="1198"/>
      <c r="J6" s="1199"/>
    </row>
    <row r="7" spans="1:11" ht="38.25">
      <c r="A7" s="1490" t="s">
        <v>1508</v>
      </c>
      <c r="B7" s="1491" t="s">
        <v>1509</v>
      </c>
      <c r="C7" s="1492" t="s">
        <v>1510</v>
      </c>
      <c r="D7" s="1493" t="s">
        <v>1472</v>
      </c>
      <c r="E7" s="1491" t="s">
        <v>1511</v>
      </c>
      <c r="F7" s="1493" t="s">
        <v>1512</v>
      </c>
      <c r="G7" s="1491" t="s">
        <v>1513</v>
      </c>
      <c r="H7" s="1491" t="s">
        <v>1514</v>
      </c>
      <c r="I7" s="1494" t="s">
        <v>1515</v>
      </c>
      <c r="J7" s="1191"/>
    </row>
    <row r="8" spans="1:11" ht="26.25" customHeight="1">
      <c r="A8" s="1495"/>
      <c r="B8" s="1200"/>
      <c r="C8" s="1201"/>
      <c r="D8" s="1202">
        <f t="shared" ref="D8:D17" si="0">B8-A8</f>
        <v>0</v>
      </c>
      <c r="E8" s="1201"/>
      <c r="F8" s="1201"/>
      <c r="G8" s="1201"/>
      <c r="H8" s="1203"/>
      <c r="I8" s="1496"/>
      <c r="J8" s="1191"/>
    </row>
    <row r="9" spans="1:11" ht="26.25" customHeight="1">
      <c r="A9" s="1495"/>
      <c r="B9" s="1200"/>
      <c r="C9" s="1204"/>
      <c r="D9" s="1202">
        <f t="shared" si="0"/>
        <v>0</v>
      </c>
      <c r="E9" s="1204"/>
      <c r="F9" s="1204"/>
      <c r="G9" s="1204"/>
      <c r="H9" s="1205"/>
      <c r="I9" s="1497"/>
      <c r="J9" s="1191"/>
    </row>
    <row r="10" spans="1:11" ht="26.25" customHeight="1">
      <c r="A10" s="1495"/>
      <c r="B10" s="1200"/>
      <c r="C10" s="1204"/>
      <c r="D10" s="1202">
        <f t="shared" si="0"/>
        <v>0</v>
      </c>
      <c r="E10" s="1204"/>
      <c r="F10" s="1204"/>
      <c r="G10" s="1204"/>
      <c r="H10" s="1205"/>
      <c r="I10" s="1497"/>
      <c r="J10" s="1191"/>
    </row>
    <row r="11" spans="1:11" ht="26.25" customHeight="1">
      <c r="A11" s="1495"/>
      <c r="B11" s="1200"/>
      <c r="C11" s="1204"/>
      <c r="D11" s="1202">
        <f t="shared" si="0"/>
        <v>0</v>
      </c>
      <c r="E11" s="1204"/>
      <c r="F11" s="1204"/>
      <c r="G11" s="1204"/>
      <c r="H11" s="1205"/>
      <c r="I11" s="1497"/>
      <c r="J11" s="1191"/>
    </row>
    <row r="12" spans="1:11" ht="26.25" customHeight="1">
      <c r="A12" s="1495"/>
      <c r="B12" s="1200"/>
      <c r="C12" s="1204"/>
      <c r="D12" s="1202">
        <f t="shared" si="0"/>
        <v>0</v>
      </c>
      <c r="E12" s="1204"/>
      <c r="F12" s="1204"/>
      <c r="G12" s="1204"/>
      <c r="H12" s="1205"/>
      <c r="I12" s="1497"/>
      <c r="J12" s="1191"/>
    </row>
    <row r="13" spans="1:11" ht="26.25" customHeight="1">
      <c r="A13" s="1495"/>
      <c r="B13" s="1200"/>
      <c r="C13" s="1204"/>
      <c r="D13" s="1202">
        <f t="shared" si="0"/>
        <v>0</v>
      </c>
      <c r="E13" s="1204"/>
      <c r="F13" s="1204"/>
      <c r="G13" s="1204"/>
      <c r="H13" s="1205"/>
      <c r="I13" s="1497"/>
      <c r="J13" s="1191"/>
    </row>
    <row r="14" spans="1:11" ht="26.25" customHeight="1">
      <c r="A14" s="1495"/>
      <c r="B14" s="1200"/>
      <c r="C14" s="1204"/>
      <c r="D14" s="1202">
        <f t="shared" si="0"/>
        <v>0</v>
      </c>
      <c r="E14" s="1204"/>
      <c r="F14" s="1204"/>
      <c r="G14" s="1204"/>
      <c r="H14" s="1205"/>
      <c r="I14" s="1497"/>
      <c r="J14" s="1191"/>
    </row>
    <row r="15" spans="1:11" ht="26.25" customHeight="1">
      <c r="A15" s="1495"/>
      <c r="B15" s="1200"/>
      <c r="C15" s="1204"/>
      <c r="D15" s="1202">
        <f t="shared" si="0"/>
        <v>0</v>
      </c>
      <c r="E15" s="1204"/>
      <c r="F15" s="1204"/>
      <c r="G15" s="1204"/>
      <c r="H15" s="1205"/>
      <c r="I15" s="1497"/>
      <c r="J15" s="1191"/>
    </row>
    <row r="16" spans="1:11" ht="26.25" customHeight="1">
      <c r="A16" s="1495"/>
      <c r="B16" s="1200"/>
      <c r="C16" s="1204"/>
      <c r="D16" s="1202">
        <f t="shared" si="0"/>
        <v>0</v>
      </c>
      <c r="E16" s="1204"/>
      <c r="F16" s="1204"/>
      <c r="G16" s="1204"/>
      <c r="H16" s="1205"/>
      <c r="I16" s="1497"/>
      <c r="J16" s="1191"/>
    </row>
    <row r="17" spans="1:10" ht="26.25" customHeight="1">
      <c r="A17" s="1498"/>
      <c r="B17" s="1499"/>
      <c r="C17" s="1500"/>
      <c r="D17" s="1501">
        <f t="shared" si="0"/>
        <v>0</v>
      </c>
      <c r="E17" s="1500"/>
      <c r="F17" s="1500"/>
      <c r="G17" s="1500"/>
      <c r="H17" s="1502"/>
      <c r="I17" s="1503"/>
      <c r="J17" s="1191"/>
    </row>
    <row r="18" spans="1:10" ht="30.75" customHeight="1">
      <c r="A18" s="1196" t="s">
        <v>1516</v>
      </c>
      <c r="B18" s="1976"/>
      <c r="C18" s="470"/>
      <c r="D18" s="470"/>
      <c r="E18" s="470"/>
      <c r="F18" s="470"/>
      <c r="G18" s="470"/>
      <c r="H18" s="470"/>
      <c r="I18" s="470"/>
      <c r="J18" s="1191"/>
    </row>
    <row r="19" spans="1:10" ht="20.25" customHeight="1">
      <c r="A19" s="3294" t="s">
        <v>1393</v>
      </c>
      <c r="B19" s="3294"/>
      <c r="C19" s="1915" t="s">
        <v>1517</v>
      </c>
      <c r="D19" s="1916"/>
      <c r="E19" s="1916"/>
      <c r="F19" s="1916"/>
      <c r="G19" s="1916"/>
      <c r="H19" s="1916"/>
      <c r="I19" s="1917"/>
      <c r="J19" s="1191"/>
    </row>
    <row r="20" spans="1:10" ht="22.5" customHeight="1">
      <c r="A20" s="1977"/>
      <c r="B20" s="1978"/>
      <c r="C20" s="1918"/>
      <c r="D20" s="1920"/>
      <c r="E20" s="1920"/>
      <c r="F20" s="1920"/>
      <c r="G20" s="1920"/>
      <c r="H20" s="1920"/>
      <c r="I20" s="1919"/>
      <c r="J20" s="1191"/>
    </row>
    <row r="21" spans="1:10" ht="22.5" customHeight="1">
      <c r="A21" s="1977"/>
      <c r="B21" s="1978"/>
      <c r="C21" s="1918"/>
      <c r="D21" s="1920"/>
      <c r="E21" s="1920"/>
      <c r="F21" s="1920"/>
      <c r="G21" s="1920"/>
      <c r="H21" s="1920"/>
      <c r="I21" s="1919"/>
    </row>
    <row r="22" spans="1:10" ht="22.5" customHeight="1">
      <c r="A22" s="1977"/>
      <c r="B22" s="1978"/>
      <c r="C22" s="1918"/>
      <c r="D22" s="1920"/>
      <c r="E22" s="1920"/>
      <c r="F22" s="1920"/>
      <c r="G22" s="1920"/>
      <c r="H22" s="1920"/>
      <c r="I22" s="1919"/>
    </row>
    <row r="23" spans="1:10" ht="22.5" customHeight="1">
      <c r="A23" s="1977"/>
      <c r="B23" s="1978"/>
      <c r="C23" s="1918"/>
      <c r="D23" s="1920"/>
      <c r="E23" s="1920"/>
      <c r="F23" s="1920"/>
      <c r="G23" s="1920"/>
      <c r="H23" s="1920"/>
      <c r="I23" s="1919"/>
    </row>
    <row r="24" spans="1:10" ht="30" customHeight="1">
      <c r="A24" s="1196" t="s">
        <v>1518</v>
      </c>
      <c r="B24" s="1979"/>
    </row>
    <row r="25" spans="1:10" ht="15" customHeight="1">
      <c r="A25" s="1979" t="s">
        <v>1519</v>
      </c>
      <c r="B25" s="1979"/>
    </row>
    <row r="26" spans="1:10" ht="15" customHeight="1">
      <c r="A26" s="1979" t="s">
        <v>1520</v>
      </c>
      <c r="B26" s="1979"/>
    </row>
    <row r="27" spans="1:10" ht="22.5" customHeight="1">
      <c r="A27" s="1977"/>
      <c r="B27" s="1980"/>
      <c r="C27" s="1920"/>
      <c r="D27" s="1920"/>
      <c r="E27" s="1920"/>
      <c r="F27" s="1920"/>
      <c r="G27" s="1920"/>
      <c r="H27" s="1920"/>
      <c r="I27" s="1919"/>
    </row>
    <row r="28" spans="1:10" ht="22.5" customHeight="1">
      <c r="A28" s="1977"/>
      <c r="B28" s="1980"/>
      <c r="C28" s="1920"/>
      <c r="D28" s="1920"/>
      <c r="E28" s="1920"/>
      <c r="F28" s="1920"/>
      <c r="G28" s="1920"/>
      <c r="H28" s="1920"/>
      <c r="I28" s="1919"/>
    </row>
    <row r="29" spans="1:10" ht="22.5" customHeight="1">
      <c r="A29" s="1977"/>
      <c r="B29" s="1980"/>
      <c r="C29" s="1920"/>
      <c r="D29" s="1920"/>
      <c r="E29" s="1920"/>
      <c r="F29" s="1920"/>
      <c r="G29" s="1920"/>
      <c r="H29" s="1920"/>
      <c r="I29" s="1919"/>
    </row>
    <row r="30" spans="1:10" ht="22.5" customHeight="1">
      <c r="A30" s="1977"/>
      <c r="B30" s="1980"/>
      <c r="C30" s="1920"/>
      <c r="D30" s="1920"/>
      <c r="E30" s="1920"/>
      <c r="F30" s="1920"/>
      <c r="G30" s="1920"/>
      <c r="H30" s="1920"/>
      <c r="I30" s="1919"/>
    </row>
    <row r="31" spans="1:10" ht="22.5" customHeight="1">
      <c r="A31" s="1981"/>
      <c r="B31" s="1982"/>
      <c r="C31" s="1974"/>
      <c r="D31" s="1974"/>
      <c r="E31" s="1974"/>
      <c r="F31" s="1974"/>
      <c r="G31" s="1974"/>
      <c r="H31" s="1974"/>
      <c r="I31" s="1975"/>
    </row>
    <row r="32" spans="1:10" ht="22.5" customHeight="1">
      <c r="A32" s="1981"/>
      <c r="B32" s="1982"/>
      <c r="C32" s="1974"/>
      <c r="D32" s="1974"/>
      <c r="E32" s="1974"/>
      <c r="F32" s="1974"/>
      <c r="G32" s="1974"/>
      <c r="H32" s="1974"/>
      <c r="I32" s="1975"/>
    </row>
    <row r="33" spans="1:9" ht="22.5" customHeight="1">
      <c r="A33" s="1981"/>
      <c r="B33" s="1982"/>
      <c r="C33" s="1974"/>
      <c r="D33" s="1974"/>
      <c r="E33" s="1974"/>
      <c r="F33" s="1974"/>
      <c r="G33" s="1974"/>
      <c r="H33" s="1974"/>
      <c r="I33" s="1975"/>
    </row>
    <row r="34" spans="1:9" ht="22.5" customHeight="1">
      <c r="A34" s="1977"/>
      <c r="B34" s="1980"/>
      <c r="C34" s="1920"/>
      <c r="D34" s="1920"/>
      <c r="E34" s="1920"/>
      <c r="F34" s="1920"/>
      <c r="G34" s="1920"/>
      <c r="H34" s="1920"/>
      <c r="I34" s="1919"/>
    </row>
    <row r="35" spans="1:9" ht="22.5" customHeight="1">
      <c r="A35" s="1977"/>
      <c r="B35" s="1980"/>
      <c r="C35" s="1920"/>
      <c r="D35" s="1920"/>
      <c r="E35" s="1920"/>
      <c r="F35" s="1920"/>
      <c r="G35" s="1920"/>
      <c r="H35" s="1920"/>
      <c r="I35" s="1919"/>
    </row>
    <row r="36" spans="1:9" ht="22.5" customHeight="1">
      <c r="A36" s="1977"/>
      <c r="B36" s="1980"/>
      <c r="C36" s="1920"/>
      <c r="D36" s="1920"/>
      <c r="E36" s="1920"/>
      <c r="F36" s="1920"/>
      <c r="G36" s="1920"/>
      <c r="H36" s="1920"/>
      <c r="I36" s="1919"/>
    </row>
    <row r="37" spans="1:9">
      <c r="A37" s="476"/>
      <c r="B37" s="476"/>
      <c r="C37" s="476"/>
      <c r="D37" s="476"/>
      <c r="E37" s="476"/>
      <c r="F37" s="476"/>
      <c r="G37" s="476"/>
      <c r="H37" s="476"/>
      <c r="I37" s="476"/>
    </row>
    <row r="38" spans="1:9">
      <c r="A38" s="476"/>
      <c r="B38" s="476"/>
      <c r="C38" s="476"/>
      <c r="D38" s="476"/>
      <c r="E38" s="476"/>
      <c r="F38" s="476"/>
      <c r="G38" s="476"/>
      <c r="H38" s="476"/>
      <c r="I38" s="476"/>
    </row>
    <row r="39" spans="1:9">
      <c r="A39" s="476"/>
      <c r="B39" s="476"/>
      <c r="C39" s="476"/>
      <c r="D39" s="476"/>
      <c r="E39" s="476"/>
      <c r="F39" s="476"/>
      <c r="G39" s="476"/>
      <c r="H39" s="476"/>
      <c r="I39" s="476"/>
    </row>
    <row r="40" spans="1:9">
      <c r="A40" s="476"/>
      <c r="B40" s="476"/>
      <c r="C40" s="476"/>
      <c r="D40" s="476"/>
      <c r="E40" s="476"/>
      <c r="F40" s="476"/>
      <c r="G40" s="476"/>
      <c r="H40" s="476"/>
      <c r="I40" s="476"/>
    </row>
    <row r="41" spans="1:9">
      <c r="A41" s="476"/>
      <c r="B41" s="476"/>
      <c r="C41" s="476"/>
      <c r="D41" s="476"/>
      <c r="E41" s="476"/>
      <c r="F41" s="476"/>
      <c r="G41" s="476"/>
      <c r="H41" s="476"/>
      <c r="I41" s="476"/>
    </row>
    <row r="42" spans="1:9">
      <c r="A42" s="476"/>
      <c r="B42" s="476"/>
      <c r="C42" s="476"/>
      <c r="D42" s="476"/>
      <c r="E42" s="476"/>
      <c r="F42" s="476"/>
      <c r="G42" s="476"/>
      <c r="H42" s="476"/>
      <c r="I42" s="476"/>
    </row>
    <row r="43" spans="1:9">
      <c r="A43" s="476"/>
      <c r="B43" s="476"/>
      <c r="C43" s="476"/>
      <c r="D43" s="476"/>
      <c r="E43" s="476"/>
      <c r="F43" s="476"/>
      <c r="G43" s="476"/>
      <c r="H43" s="476"/>
      <c r="I43" s="476"/>
    </row>
    <row r="44" spans="1:9">
      <c r="A44" s="476"/>
      <c r="B44" s="476"/>
      <c r="C44" s="476"/>
      <c r="D44" s="476"/>
      <c r="E44" s="476"/>
      <c r="F44" s="476"/>
      <c r="G44" s="476"/>
      <c r="H44" s="476"/>
      <c r="I44" s="476"/>
    </row>
    <row r="45" spans="1:9">
      <c r="A45" s="476"/>
      <c r="B45" s="476"/>
      <c r="C45" s="476"/>
      <c r="D45" s="476"/>
      <c r="E45" s="476"/>
      <c r="F45" s="476"/>
      <c r="G45" s="476"/>
      <c r="H45" s="476"/>
      <c r="I45" s="476"/>
    </row>
    <row r="46" spans="1:9">
      <c r="A46" s="476"/>
      <c r="B46" s="476"/>
      <c r="C46" s="476"/>
      <c r="D46" s="476"/>
      <c r="E46" s="476"/>
      <c r="F46" s="476"/>
      <c r="G46" s="476"/>
      <c r="H46" s="476"/>
      <c r="I46" s="476"/>
    </row>
    <row r="47" spans="1:9">
      <c r="A47" s="476"/>
      <c r="B47" s="476"/>
      <c r="C47" s="476"/>
      <c r="D47" s="476"/>
      <c r="E47" s="476"/>
      <c r="F47" s="476"/>
      <c r="G47" s="476"/>
      <c r="H47" s="476"/>
      <c r="I47" s="476"/>
    </row>
    <row r="48" spans="1:9">
      <c r="A48" s="476"/>
      <c r="B48" s="476"/>
      <c r="C48" s="476"/>
      <c r="D48" s="476"/>
      <c r="E48" s="476"/>
      <c r="F48" s="476"/>
      <c r="G48" s="476"/>
      <c r="H48" s="476"/>
      <c r="I48" s="476"/>
    </row>
    <row r="49" spans="1:9">
      <c r="A49" s="476"/>
      <c r="B49" s="476"/>
      <c r="C49" s="476"/>
      <c r="D49" s="476"/>
      <c r="E49" s="476"/>
      <c r="F49" s="476"/>
      <c r="G49" s="476"/>
      <c r="H49" s="476"/>
      <c r="I49" s="476"/>
    </row>
    <row r="50" spans="1:9">
      <c r="A50" s="476"/>
      <c r="B50" s="476"/>
      <c r="C50" s="476"/>
      <c r="D50" s="476"/>
      <c r="E50" s="476"/>
      <c r="F50" s="476"/>
      <c r="G50" s="476"/>
      <c r="H50" s="476"/>
      <c r="I50" s="476"/>
    </row>
    <row r="51" spans="1:9">
      <c r="A51" s="476"/>
      <c r="B51" s="476"/>
      <c r="C51" s="476"/>
      <c r="D51" s="476"/>
      <c r="E51" s="476"/>
      <c r="F51" s="476"/>
      <c r="G51" s="476"/>
      <c r="H51" s="476"/>
      <c r="I51" s="476"/>
    </row>
    <row r="52" spans="1:9">
      <c r="A52" s="476"/>
      <c r="B52" s="476"/>
      <c r="C52" s="476"/>
      <c r="D52" s="476"/>
      <c r="E52" s="476"/>
      <c r="F52" s="476"/>
      <c r="G52" s="476"/>
      <c r="H52" s="476"/>
      <c r="I52" s="476"/>
    </row>
    <row r="53" spans="1:9">
      <c r="A53" s="476"/>
      <c r="B53" s="476"/>
      <c r="C53" s="476"/>
      <c r="D53" s="476"/>
      <c r="E53" s="476"/>
      <c r="F53" s="476"/>
      <c r="G53" s="476"/>
      <c r="H53" s="476"/>
      <c r="I53" s="476"/>
    </row>
    <row r="54" spans="1:9">
      <c r="A54" s="476"/>
      <c r="B54" s="476"/>
      <c r="C54" s="476"/>
      <c r="D54" s="476"/>
      <c r="E54" s="476"/>
      <c r="F54" s="476"/>
      <c r="G54" s="476"/>
      <c r="H54" s="476"/>
      <c r="I54" s="476"/>
    </row>
    <row r="55" spans="1:9">
      <c r="A55" s="476"/>
      <c r="B55" s="476"/>
      <c r="C55" s="476"/>
      <c r="D55" s="476"/>
      <c r="E55" s="476"/>
      <c r="F55" s="476"/>
      <c r="G55" s="476"/>
      <c r="H55" s="476"/>
      <c r="I55" s="476"/>
    </row>
    <row r="56" spans="1:9">
      <c r="A56" s="476"/>
      <c r="B56" s="476"/>
      <c r="C56" s="476"/>
      <c r="D56" s="476"/>
      <c r="E56" s="476"/>
      <c r="F56" s="476"/>
      <c r="G56" s="476"/>
      <c r="H56" s="476"/>
      <c r="I56" s="476"/>
    </row>
    <row r="57" spans="1:9">
      <c r="A57" s="476"/>
      <c r="B57" s="476"/>
      <c r="C57" s="476"/>
      <c r="D57" s="476"/>
      <c r="E57" s="476"/>
      <c r="F57" s="476"/>
      <c r="G57" s="476"/>
      <c r="H57" s="476"/>
      <c r="I57" s="476"/>
    </row>
    <row r="58" spans="1:9">
      <c r="A58" s="476"/>
      <c r="B58" s="476"/>
      <c r="C58" s="476"/>
      <c r="D58" s="476"/>
      <c r="E58" s="476"/>
      <c r="F58" s="476"/>
      <c r="G58" s="476"/>
      <c r="H58" s="476"/>
      <c r="I58" s="476"/>
    </row>
    <row r="59" spans="1:9">
      <c r="A59" s="476"/>
      <c r="B59" s="476"/>
      <c r="C59" s="476"/>
      <c r="D59" s="476"/>
      <c r="E59" s="476"/>
      <c r="F59" s="476"/>
      <c r="G59" s="476"/>
      <c r="H59" s="476"/>
      <c r="I59" s="476"/>
    </row>
    <row r="60" spans="1:9">
      <c r="A60" s="476"/>
      <c r="B60" s="476"/>
      <c r="C60" s="476"/>
      <c r="D60" s="476"/>
      <c r="E60" s="476"/>
      <c r="F60" s="476"/>
      <c r="G60" s="476"/>
      <c r="H60" s="476"/>
      <c r="I60" s="476"/>
    </row>
    <row r="61" spans="1:9">
      <c r="A61" s="476"/>
      <c r="B61" s="476"/>
      <c r="C61" s="476"/>
      <c r="D61" s="476"/>
      <c r="E61" s="476"/>
      <c r="F61" s="476"/>
      <c r="G61" s="476"/>
      <c r="H61" s="476"/>
      <c r="I61" s="476"/>
    </row>
    <row r="62" spans="1:9">
      <c r="A62" s="476"/>
      <c r="B62" s="476"/>
      <c r="C62" s="476"/>
      <c r="D62" s="476"/>
      <c r="E62" s="476"/>
      <c r="F62" s="476"/>
      <c r="G62" s="476"/>
      <c r="H62" s="476"/>
      <c r="I62" s="476"/>
    </row>
  </sheetData>
  <sheetProtection password="CC3A" sheet="1" objects="1" scenarios="1" formatCells="0" formatRows="0" insertRows="0" deleteRows="0"/>
  <mergeCells count="8">
    <mergeCell ref="A19:B19"/>
    <mergeCell ref="C1:F1"/>
    <mergeCell ref="C2:G2"/>
    <mergeCell ref="B3:D3"/>
    <mergeCell ref="B4:D4"/>
    <mergeCell ref="G4:H4"/>
    <mergeCell ref="C5:D5"/>
    <mergeCell ref="G5:H5"/>
  </mergeCells>
  <hyperlinks>
    <hyperlink ref="J1" location="'System I'!A1" display="◄"/>
    <hyperlink ref="K1" location="Bodennah!A1" display="  ►"/>
  </hyperlinks>
  <pageMargins left="0.47244094488188981" right="0.47244094488188981" top="0.70866141732283472" bottom="0.51181102362204722" header="0.51181102362204722" footer="0.51181102362204722"/>
  <pageSetup paperSize="9" scale="86" firstPageNumber="0"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P65"/>
  <sheetViews>
    <sheetView showZeros="0" zoomScale="80" zoomScaleNormal="80" zoomScalePageLayoutView="80" workbookViewId="0">
      <selection activeCell="L1" sqref="L1"/>
    </sheetView>
  </sheetViews>
  <sheetFormatPr baseColWidth="10" defaultColWidth="12.28515625" defaultRowHeight="12.75"/>
  <cols>
    <col min="1" max="1" width="10.42578125" style="470" customWidth="1"/>
    <col min="2" max="2" width="23.42578125" style="470" customWidth="1"/>
    <col min="3" max="3" width="18.140625" style="470" customWidth="1"/>
    <col min="4" max="4" width="10.28515625" style="470" customWidth="1"/>
    <col min="5" max="5" width="8.42578125" style="470" customWidth="1"/>
    <col min="6" max="6" width="10.140625" style="470" customWidth="1"/>
    <col min="7" max="7" width="10.42578125" style="470" customWidth="1"/>
    <col min="8" max="8" width="7.42578125" style="470" customWidth="1"/>
    <col min="9" max="9" width="8" style="470" customWidth="1"/>
    <col min="10" max="10" width="11.85546875" style="470" customWidth="1"/>
    <col min="11" max="11" width="4.85546875" style="470" customWidth="1"/>
    <col min="12" max="13" width="12.28515625" style="470"/>
    <col min="14" max="14" width="19.85546875" style="470" customWidth="1"/>
    <col min="15" max="15" width="12.28515625" style="470"/>
    <col min="16" max="16" width="18" style="470" customWidth="1"/>
    <col min="17" max="16384" width="12.28515625" style="470"/>
  </cols>
  <sheetData>
    <row r="1" spans="1:16" ht="33" customHeight="1">
      <c r="A1" s="3303" t="s">
        <v>1521</v>
      </c>
      <c r="B1" s="3304"/>
      <c r="C1" s="3304"/>
      <c r="D1" s="3304"/>
      <c r="E1" s="3304"/>
      <c r="F1" s="3304"/>
      <c r="G1" s="3304"/>
      <c r="H1" s="3304"/>
      <c r="I1" s="3304"/>
      <c r="J1" s="3305"/>
      <c r="L1" s="1206" t="s">
        <v>413</v>
      </c>
      <c r="M1" s="1206" t="s">
        <v>381</v>
      </c>
      <c r="N1"/>
      <c r="O1"/>
      <c r="P1"/>
    </row>
    <row r="2" spans="1:16" ht="21.75" customHeight="1">
      <c r="A2" s="1207" t="s">
        <v>1522</v>
      </c>
      <c r="B2" s="1504">
        <f>Betrieb!E4</f>
        <v>2017</v>
      </c>
      <c r="C2" s="1194" t="s">
        <v>1393</v>
      </c>
      <c r="D2" s="3306">
        <f>Betrieb!C3</f>
        <v>0</v>
      </c>
      <c r="E2" s="3306"/>
      <c r="F2" s="1208"/>
      <c r="G2" s="1209" t="s">
        <v>417</v>
      </c>
      <c r="H2" s="3307">
        <f>Betrieb!B4</f>
        <v>0</v>
      </c>
      <c r="I2" s="3307"/>
      <c r="J2" s="3307"/>
      <c r="L2" s="1210"/>
      <c r="M2" s="1211"/>
      <c r="N2" s="1211"/>
      <c r="O2" s="1211"/>
      <c r="P2" s="1212"/>
    </row>
    <row r="3" spans="1:16" ht="21.75" customHeight="1">
      <c r="A3"/>
      <c r="B3"/>
      <c r="C3"/>
      <c r="D3"/>
      <c r="E3"/>
      <c r="F3" s="1208"/>
      <c r="G3" s="1209" t="s">
        <v>418</v>
      </c>
      <c r="H3" s="3297">
        <f>Betrieb!B5</f>
        <v>0</v>
      </c>
      <c r="I3" s="3297"/>
      <c r="J3" s="3297"/>
      <c r="L3" s="1213" t="s">
        <v>1523</v>
      </c>
      <c r="M3" s="1214"/>
      <c r="N3" s="1215"/>
      <c r="O3" s="1215"/>
      <c r="P3" s="1216"/>
    </row>
    <row r="4" spans="1:16" ht="21.75" customHeight="1">
      <c r="A4" s="3308" t="str">
        <f>"Aufzeichnungsjahr "&amp;B2</f>
        <v>Aufzeichnungsjahr 2017</v>
      </c>
      <c r="B4" s="3308"/>
      <c r="C4" s="1217" t="str">
        <f>"von 16. Mai "&amp;(B2-1)&amp;" *"</f>
        <v>von 16. Mai 2016 *</v>
      </c>
      <c r="D4" s="3309" t="str">
        <f>"bis 15. Mai "&amp;B2</f>
        <v>bis 15. Mai 2017</v>
      </c>
      <c r="E4" s="3309"/>
      <c r="F4" s="1208"/>
      <c r="G4" s="1209" t="s">
        <v>419</v>
      </c>
      <c r="H4" s="1195">
        <f>Betrieb!B6</f>
        <v>0</v>
      </c>
      <c r="I4" s="3299">
        <f>Betrieb!C6</f>
        <v>0</v>
      </c>
      <c r="J4" s="3299"/>
      <c r="L4" s="3301" t="s">
        <v>1524</v>
      </c>
      <c r="M4" s="3301"/>
      <c r="N4" s="3301"/>
      <c r="O4" s="3301"/>
      <c r="P4" s="3301"/>
    </row>
    <row r="5" spans="1:16" ht="9.75" customHeight="1">
      <c r="A5"/>
      <c r="B5"/>
      <c r="C5" s="1218"/>
      <c r="D5"/>
      <c r="E5"/>
      <c r="F5" s="1208"/>
      <c r="G5" s="1208"/>
      <c r="H5" s="1208"/>
      <c r="I5" s="1208"/>
      <c r="J5" s="1208"/>
      <c r="L5" s="3302"/>
      <c r="M5" s="3302"/>
      <c r="N5" s="3302"/>
      <c r="O5" s="3302"/>
      <c r="P5" s="3302"/>
    </row>
    <row r="6" spans="1:16" ht="27" customHeight="1">
      <c r="A6" s="3311" t="s">
        <v>1719</v>
      </c>
      <c r="B6" s="3311"/>
      <c r="C6" s="3311"/>
      <c r="D6" s="3311"/>
      <c r="E6" s="3311"/>
      <c r="F6" s="3311"/>
      <c r="G6" s="3311"/>
      <c r="H6" s="3311"/>
      <c r="I6" s="3312"/>
      <c r="J6" s="3312"/>
      <c r="L6" s="3302"/>
      <c r="M6" s="3302"/>
      <c r="N6" s="3302"/>
      <c r="O6" s="3302"/>
      <c r="P6" s="3302"/>
    </row>
    <row r="7" spans="1:16" ht="8.25" customHeight="1">
      <c r="A7" s="1219"/>
      <c r="B7" s="1219"/>
      <c r="C7" s="1220"/>
      <c r="D7" s="1220"/>
      <c r="E7" s="1220"/>
      <c r="F7" s="1220"/>
      <c r="G7" s="1220"/>
      <c r="H7" s="1220"/>
      <c r="I7" s="1220"/>
      <c r="J7" s="1220"/>
      <c r="L7" s="3302"/>
      <c r="M7" s="3302"/>
      <c r="N7" s="3302"/>
      <c r="O7" s="3302"/>
      <c r="P7" s="3302"/>
    </row>
    <row r="8" spans="1:16" ht="21.75" customHeight="1">
      <c r="A8" s="3313" t="s">
        <v>1525</v>
      </c>
      <c r="B8" s="3313" t="s">
        <v>1717</v>
      </c>
      <c r="C8" s="3314" t="s">
        <v>1473</v>
      </c>
      <c r="D8" s="3315" t="s">
        <v>1526</v>
      </c>
      <c r="E8" s="3316"/>
      <c r="F8" s="3316" t="s">
        <v>1527</v>
      </c>
      <c r="G8" s="3316"/>
      <c r="H8" s="3317" t="s">
        <v>424</v>
      </c>
      <c r="I8" s="3313" t="s">
        <v>1528</v>
      </c>
      <c r="J8" s="3313" t="s">
        <v>1529</v>
      </c>
      <c r="L8" s="3302"/>
      <c r="M8" s="3302"/>
      <c r="N8" s="3302"/>
      <c r="O8" s="3302"/>
      <c r="P8" s="3302"/>
    </row>
    <row r="9" spans="1:16" ht="43.5" customHeight="1">
      <c r="A9" s="3313"/>
      <c r="B9" s="3313"/>
      <c r="C9" s="3314"/>
      <c r="D9" s="1484" t="s">
        <v>1718</v>
      </c>
      <c r="E9" s="1221" t="s">
        <v>1716</v>
      </c>
      <c r="F9" s="1221" t="s">
        <v>1530</v>
      </c>
      <c r="G9" s="1221" t="s">
        <v>1531</v>
      </c>
      <c r="H9" s="3317"/>
      <c r="I9" s="3317"/>
      <c r="J9" s="3317"/>
      <c r="L9" s="3302"/>
      <c r="M9" s="3302"/>
      <c r="N9" s="3302"/>
      <c r="O9" s="3302"/>
      <c r="P9" s="3302"/>
    </row>
    <row r="10" spans="1:16" ht="27.75" customHeight="1">
      <c r="A10" s="3310" t="s">
        <v>1532</v>
      </c>
      <c r="B10" s="3310"/>
      <c r="C10" s="3310"/>
      <c r="D10" s="3310"/>
      <c r="E10" s="1222"/>
      <c r="F10" s="1222"/>
      <c r="G10" s="1222"/>
      <c r="H10" s="1222"/>
      <c r="I10" s="1489" t="s">
        <v>1533</v>
      </c>
      <c r="J10" s="1223">
        <f>SUM(J12:J65)</f>
        <v>0</v>
      </c>
      <c r="L10" s="3302"/>
      <c r="M10" s="3302"/>
      <c r="N10" s="3302"/>
      <c r="O10" s="3302"/>
      <c r="P10" s="3302"/>
    </row>
    <row r="11" spans="1:16" ht="15.75" customHeight="1">
      <c r="A11" s="1224" t="s">
        <v>1534</v>
      </c>
      <c r="B11" s="1225" t="s">
        <v>1535</v>
      </c>
      <c r="C11" s="1226" t="s">
        <v>1536</v>
      </c>
      <c r="D11" s="1226" t="s">
        <v>1537</v>
      </c>
      <c r="E11" s="1226"/>
      <c r="F11" s="1226" t="s">
        <v>1537</v>
      </c>
      <c r="G11" s="1226"/>
      <c r="H11" s="1227">
        <v>3</v>
      </c>
      <c r="I11" s="1228">
        <v>15</v>
      </c>
      <c r="J11" s="1229"/>
    </row>
    <row r="12" spans="1:16" ht="24" customHeight="1">
      <c r="A12" s="1488"/>
      <c r="B12" s="1230"/>
      <c r="C12" s="1204"/>
      <c r="D12" s="1204"/>
      <c r="E12" s="1204"/>
      <c r="F12" s="1204"/>
      <c r="G12" s="1204"/>
      <c r="H12" s="1485"/>
      <c r="I12" s="1486"/>
      <c r="J12" s="1487">
        <f t="shared" ref="J12:J65" si="0">H12*I12</f>
        <v>0</v>
      </c>
    </row>
    <row r="13" spans="1:16" ht="20.25" customHeight="1">
      <c r="A13" s="1488"/>
      <c r="B13" s="1230"/>
      <c r="C13" s="1204"/>
      <c r="D13" s="1204"/>
      <c r="E13" s="1204"/>
      <c r="F13" s="1204"/>
      <c r="G13" s="1204"/>
      <c r="H13" s="1485"/>
      <c r="I13" s="1486"/>
      <c r="J13" s="1487">
        <f t="shared" si="0"/>
        <v>0</v>
      </c>
    </row>
    <row r="14" spans="1:16" ht="20.25" customHeight="1">
      <c r="A14" s="1488"/>
      <c r="B14" s="1230"/>
      <c r="C14" s="1204"/>
      <c r="D14" s="1204"/>
      <c r="E14" s="1204"/>
      <c r="F14" s="1204"/>
      <c r="G14" s="1204"/>
      <c r="H14" s="1485"/>
      <c r="I14" s="1486"/>
      <c r="J14" s="1487">
        <f t="shared" si="0"/>
        <v>0</v>
      </c>
    </row>
    <row r="15" spans="1:16" ht="20.25" customHeight="1">
      <c r="A15" s="1488"/>
      <c r="B15" s="1230"/>
      <c r="C15" s="1204"/>
      <c r="D15" s="1204"/>
      <c r="E15" s="1204"/>
      <c r="F15" s="1204"/>
      <c r="G15" s="1204"/>
      <c r="H15" s="1485"/>
      <c r="I15" s="1486"/>
      <c r="J15" s="1487">
        <f t="shared" si="0"/>
        <v>0</v>
      </c>
    </row>
    <row r="16" spans="1:16" ht="20.25" customHeight="1">
      <c r="A16" s="1488"/>
      <c r="B16" s="1230"/>
      <c r="C16" s="1204"/>
      <c r="D16" s="1204"/>
      <c r="E16" s="1204"/>
      <c r="F16" s="1204"/>
      <c r="G16" s="1204"/>
      <c r="H16" s="1485"/>
      <c r="I16" s="1486"/>
      <c r="J16" s="1487">
        <f t="shared" si="0"/>
        <v>0</v>
      </c>
    </row>
    <row r="17" spans="1:10" ht="20.25" customHeight="1">
      <c r="A17" s="1488"/>
      <c r="B17" s="1230"/>
      <c r="C17" s="1204"/>
      <c r="D17" s="1204"/>
      <c r="E17" s="1204"/>
      <c r="F17" s="1204"/>
      <c r="G17" s="1204"/>
      <c r="H17" s="1485"/>
      <c r="I17" s="1486"/>
      <c r="J17" s="1487">
        <f t="shared" si="0"/>
        <v>0</v>
      </c>
    </row>
    <row r="18" spans="1:10" ht="20.25" customHeight="1">
      <c r="A18" s="1488"/>
      <c r="B18" s="1230"/>
      <c r="C18" s="1204"/>
      <c r="D18" s="1204"/>
      <c r="E18" s="1204"/>
      <c r="F18" s="1204"/>
      <c r="G18" s="1204"/>
      <c r="H18" s="1485"/>
      <c r="I18" s="1486"/>
      <c r="J18" s="1487">
        <f t="shared" si="0"/>
        <v>0</v>
      </c>
    </row>
    <row r="19" spans="1:10" ht="20.25" customHeight="1">
      <c r="A19" s="1488"/>
      <c r="B19" s="1230"/>
      <c r="C19" s="1204"/>
      <c r="D19" s="1204"/>
      <c r="E19" s="1204"/>
      <c r="F19" s="1204"/>
      <c r="G19" s="1204"/>
      <c r="H19" s="1485"/>
      <c r="I19" s="1486"/>
      <c r="J19" s="1487">
        <f t="shared" si="0"/>
        <v>0</v>
      </c>
    </row>
    <row r="20" spans="1:10" ht="20.25" customHeight="1">
      <c r="A20" s="1488"/>
      <c r="B20" s="1230"/>
      <c r="C20" s="1204"/>
      <c r="D20" s="1204"/>
      <c r="E20" s="1204"/>
      <c r="F20" s="1204"/>
      <c r="G20" s="1204"/>
      <c r="H20" s="1485"/>
      <c r="I20" s="1486"/>
      <c r="J20" s="1487">
        <f t="shared" si="0"/>
        <v>0</v>
      </c>
    </row>
    <row r="21" spans="1:10" ht="20.25" customHeight="1">
      <c r="A21" s="1488"/>
      <c r="B21" s="1230"/>
      <c r="C21" s="1204"/>
      <c r="D21" s="1204"/>
      <c r="E21" s="1204"/>
      <c r="F21" s="1204"/>
      <c r="G21" s="1204"/>
      <c r="H21" s="1485"/>
      <c r="I21" s="1486"/>
      <c r="J21" s="1487">
        <f t="shared" si="0"/>
        <v>0</v>
      </c>
    </row>
    <row r="22" spans="1:10" ht="20.25" customHeight="1">
      <c r="A22" s="1488"/>
      <c r="B22" s="1230"/>
      <c r="C22" s="1204"/>
      <c r="D22" s="1204"/>
      <c r="E22" s="1204"/>
      <c r="F22" s="1204"/>
      <c r="G22" s="1204"/>
      <c r="H22" s="1485"/>
      <c r="I22" s="1486"/>
      <c r="J22" s="1487">
        <f t="shared" si="0"/>
        <v>0</v>
      </c>
    </row>
    <row r="23" spans="1:10" ht="20.25" customHeight="1">
      <c r="A23" s="1488"/>
      <c r="B23" s="1230"/>
      <c r="C23" s="1204"/>
      <c r="D23" s="1204"/>
      <c r="E23" s="1204"/>
      <c r="F23" s="1204"/>
      <c r="G23" s="1204"/>
      <c r="H23" s="1485"/>
      <c r="I23" s="1486"/>
      <c r="J23" s="1487">
        <f t="shared" si="0"/>
        <v>0</v>
      </c>
    </row>
    <row r="24" spans="1:10" ht="20.25" customHeight="1">
      <c r="A24" s="1488"/>
      <c r="B24" s="1230"/>
      <c r="C24" s="1204"/>
      <c r="D24" s="1204"/>
      <c r="E24" s="1204"/>
      <c r="F24" s="1204"/>
      <c r="G24" s="1204"/>
      <c r="H24" s="1485"/>
      <c r="I24" s="1486"/>
      <c r="J24" s="1487">
        <f t="shared" si="0"/>
        <v>0</v>
      </c>
    </row>
    <row r="25" spans="1:10" ht="20.25" customHeight="1">
      <c r="A25" s="1488"/>
      <c r="B25" s="1230"/>
      <c r="C25" s="1204"/>
      <c r="D25" s="1204"/>
      <c r="E25" s="1204"/>
      <c r="F25" s="1204"/>
      <c r="G25" s="1204"/>
      <c r="H25" s="1485"/>
      <c r="I25" s="1486"/>
      <c r="J25" s="1487">
        <f t="shared" si="0"/>
        <v>0</v>
      </c>
    </row>
    <row r="26" spans="1:10" ht="20.25" customHeight="1">
      <c r="A26" s="1488"/>
      <c r="B26" s="1230"/>
      <c r="C26" s="1204"/>
      <c r="D26" s="1204"/>
      <c r="E26" s="1204"/>
      <c r="F26" s="1204"/>
      <c r="G26" s="1204"/>
      <c r="H26" s="1485"/>
      <c r="I26" s="1486"/>
      <c r="J26" s="1487">
        <f t="shared" si="0"/>
        <v>0</v>
      </c>
    </row>
    <row r="27" spans="1:10" ht="20.25" customHeight="1">
      <c r="A27" s="1488"/>
      <c r="B27" s="1230"/>
      <c r="C27" s="1204"/>
      <c r="D27" s="1204"/>
      <c r="E27" s="1204"/>
      <c r="F27" s="1204"/>
      <c r="G27" s="1204"/>
      <c r="H27" s="1485"/>
      <c r="I27" s="1486"/>
      <c r="J27" s="1487">
        <f t="shared" si="0"/>
        <v>0</v>
      </c>
    </row>
    <row r="28" spans="1:10" ht="20.25" customHeight="1">
      <c r="A28" s="1488"/>
      <c r="B28" s="1230"/>
      <c r="C28" s="1204"/>
      <c r="D28" s="1204"/>
      <c r="E28" s="1204"/>
      <c r="F28" s="1204"/>
      <c r="G28" s="1204"/>
      <c r="H28" s="1485"/>
      <c r="I28" s="1486"/>
      <c r="J28" s="1487">
        <f t="shared" si="0"/>
        <v>0</v>
      </c>
    </row>
    <row r="29" spans="1:10" ht="20.25" customHeight="1">
      <c r="A29" s="1488"/>
      <c r="B29" s="1230"/>
      <c r="C29" s="1204"/>
      <c r="D29" s="1204"/>
      <c r="E29" s="1204"/>
      <c r="F29" s="1204"/>
      <c r="G29" s="1204"/>
      <c r="H29" s="1485"/>
      <c r="I29" s="1486"/>
      <c r="J29" s="1487">
        <f t="shared" si="0"/>
        <v>0</v>
      </c>
    </row>
    <row r="30" spans="1:10" ht="20.25" customHeight="1">
      <c r="A30" s="1488"/>
      <c r="B30" s="1230"/>
      <c r="C30" s="1204"/>
      <c r="D30" s="1204"/>
      <c r="E30" s="1204"/>
      <c r="F30" s="1204"/>
      <c r="G30" s="1204"/>
      <c r="H30" s="1485"/>
      <c r="I30" s="1486"/>
      <c r="J30" s="1487">
        <f t="shared" si="0"/>
        <v>0</v>
      </c>
    </row>
    <row r="31" spans="1:10" ht="20.25" customHeight="1">
      <c r="A31" s="1488"/>
      <c r="B31" s="1230"/>
      <c r="C31" s="1204"/>
      <c r="D31" s="1204"/>
      <c r="E31" s="1204"/>
      <c r="F31" s="1204"/>
      <c r="G31" s="1204"/>
      <c r="H31" s="1485"/>
      <c r="I31" s="1486"/>
      <c r="J31" s="1487">
        <f t="shared" si="0"/>
        <v>0</v>
      </c>
    </row>
    <row r="32" spans="1:10" ht="20.25" customHeight="1">
      <c r="A32" s="1488"/>
      <c r="B32" s="1230"/>
      <c r="C32" s="1204"/>
      <c r="D32" s="1204"/>
      <c r="E32" s="1204"/>
      <c r="F32" s="1204"/>
      <c r="G32" s="1204"/>
      <c r="H32" s="1485"/>
      <c r="I32" s="1486"/>
      <c r="J32" s="1487">
        <f t="shared" si="0"/>
        <v>0</v>
      </c>
    </row>
    <row r="33" spans="1:10" ht="20.25" customHeight="1">
      <c r="A33" s="1488"/>
      <c r="B33" s="1230"/>
      <c r="C33" s="1204"/>
      <c r="D33" s="1204"/>
      <c r="E33" s="1204"/>
      <c r="F33" s="1204"/>
      <c r="G33" s="1204"/>
      <c r="H33" s="1485"/>
      <c r="I33" s="1486"/>
      <c r="J33" s="1487">
        <f t="shared" si="0"/>
        <v>0</v>
      </c>
    </row>
    <row r="34" spans="1:10" ht="20.25" customHeight="1">
      <c r="A34" s="1488"/>
      <c r="B34" s="1230"/>
      <c r="C34" s="1204"/>
      <c r="D34" s="1204"/>
      <c r="E34" s="1204"/>
      <c r="F34" s="1204"/>
      <c r="G34" s="1204"/>
      <c r="H34" s="1485"/>
      <c r="I34" s="1486"/>
      <c r="J34" s="1487">
        <f t="shared" si="0"/>
        <v>0</v>
      </c>
    </row>
    <row r="35" spans="1:10" ht="20.25" customHeight="1">
      <c r="A35" s="1488"/>
      <c r="B35" s="1230"/>
      <c r="C35" s="1204"/>
      <c r="D35" s="1204"/>
      <c r="E35" s="1204"/>
      <c r="F35" s="1204"/>
      <c r="G35" s="1204"/>
      <c r="H35" s="1485"/>
      <c r="I35" s="1486"/>
      <c r="J35" s="1487">
        <f t="shared" si="0"/>
        <v>0</v>
      </c>
    </row>
    <row r="36" spans="1:10" ht="20.25" customHeight="1">
      <c r="A36" s="1488"/>
      <c r="B36" s="1230"/>
      <c r="C36" s="1204"/>
      <c r="D36" s="1204"/>
      <c r="E36" s="1204"/>
      <c r="F36" s="1204"/>
      <c r="G36" s="1204"/>
      <c r="H36" s="1485"/>
      <c r="I36" s="1486"/>
      <c r="J36" s="1487">
        <f t="shared" si="0"/>
        <v>0</v>
      </c>
    </row>
    <row r="37" spans="1:10" ht="20.25" customHeight="1">
      <c r="A37" s="1488"/>
      <c r="B37" s="1230"/>
      <c r="C37" s="1204"/>
      <c r="D37" s="1204"/>
      <c r="E37" s="1204"/>
      <c r="F37" s="1204"/>
      <c r="G37" s="1204"/>
      <c r="H37" s="1485"/>
      <c r="I37" s="1486"/>
      <c r="J37" s="1487">
        <f t="shared" si="0"/>
        <v>0</v>
      </c>
    </row>
    <row r="38" spans="1:10" ht="20.25" customHeight="1">
      <c r="A38" s="1488"/>
      <c r="B38" s="1230"/>
      <c r="C38" s="1204"/>
      <c r="D38" s="1204"/>
      <c r="E38" s="1204"/>
      <c r="F38" s="1204"/>
      <c r="G38" s="1204"/>
      <c r="H38" s="1485"/>
      <c r="I38" s="1486"/>
      <c r="J38" s="1487">
        <f t="shared" si="0"/>
        <v>0</v>
      </c>
    </row>
    <row r="39" spans="1:10" ht="20.25" customHeight="1">
      <c r="A39" s="1488"/>
      <c r="B39" s="1230"/>
      <c r="C39" s="1204"/>
      <c r="D39" s="1204"/>
      <c r="E39" s="1204"/>
      <c r="F39" s="1204"/>
      <c r="G39" s="1204"/>
      <c r="H39" s="1485"/>
      <c r="I39" s="1486"/>
      <c r="J39" s="1487">
        <f t="shared" si="0"/>
        <v>0</v>
      </c>
    </row>
    <row r="40" spans="1:10" ht="20.25" customHeight="1">
      <c r="A40" s="1488"/>
      <c r="B40" s="1230"/>
      <c r="C40" s="1204"/>
      <c r="D40" s="1204"/>
      <c r="E40" s="1204"/>
      <c r="F40" s="1204"/>
      <c r="G40" s="1204"/>
      <c r="H40" s="1485"/>
      <c r="I40" s="1486"/>
      <c r="J40" s="1487">
        <f t="shared" si="0"/>
        <v>0</v>
      </c>
    </row>
    <row r="41" spans="1:10" ht="20.25" customHeight="1">
      <c r="A41" s="1488"/>
      <c r="B41" s="1230"/>
      <c r="C41" s="1204"/>
      <c r="D41" s="1204"/>
      <c r="E41" s="1204"/>
      <c r="F41" s="1204"/>
      <c r="G41" s="1204"/>
      <c r="H41" s="1485"/>
      <c r="I41" s="1486"/>
      <c r="J41" s="1487">
        <f t="shared" si="0"/>
        <v>0</v>
      </c>
    </row>
    <row r="42" spans="1:10" ht="20.25" customHeight="1">
      <c r="A42" s="1488"/>
      <c r="B42" s="1230"/>
      <c r="C42" s="1204"/>
      <c r="D42" s="1204"/>
      <c r="E42" s="1204"/>
      <c r="F42" s="1204"/>
      <c r="G42" s="1204"/>
      <c r="H42" s="1485"/>
      <c r="I42" s="1486"/>
      <c r="J42" s="1487">
        <f t="shared" si="0"/>
        <v>0</v>
      </c>
    </row>
    <row r="43" spans="1:10" ht="20.25" customHeight="1">
      <c r="A43" s="1488"/>
      <c r="B43" s="1230"/>
      <c r="C43" s="1204"/>
      <c r="D43" s="1204"/>
      <c r="E43" s="1204"/>
      <c r="F43" s="1204"/>
      <c r="G43" s="1204"/>
      <c r="H43" s="1485"/>
      <c r="I43" s="1486"/>
      <c r="J43" s="1487">
        <f t="shared" si="0"/>
        <v>0</v>
      </c>
    </row>
    <row r="44" spans="1:10" ht="20.25" customHeight="1">
      <c r="A44" s="1488"/>
      <c r="B44" s="1230"/>
      <c r="C44" s="1204"/>
      <c r="D44" s="1204"/>
      <c r="E44" s="1204"/>
      <c r="F44" s="1204"/>
      <c r="G44" s="1204"/>
      <c r="H44" s="1485"/>
      <c r="I44" s="1486"/>
      <c r="J44" s="1487">
        <f t="shared" si="0"/>
        <v>0</v>
      </c>
    </row>
    <row r="45" spans="1:10" ht="20.25" customHeight="1">
      <c r="A45" s="1488"/>
      <c r="B45" s="1230"/>
      <c r="C45" s="1204"/>
      <c r="D45" s="1204"/>
      <c r="E45" s="1204"/>
      <c r="F45" s="1204"/>
      <c r="G45" s="1204"/>
      <c r="H45" s="1485"/>
      <c r="I45" s="1486"/>
      <c r="J45" s="1487">
        <f t="shared" si="0"/>
        <v>0</v>
      </c>
    </row>
    <row r="46" spans="1:10" ht="20.25" customHeight="1">
      <c r="A46" s="1488"/>
      <c r="B46" s="1230"/>
      <c r="C46" s="1204"/>
      <c r="D46" s="1204"/>
      <c r="E46" s="1204"/>
      <c r="F46" s="1204"/>
      <c r="G46" s="1204"/>
      <c r="H46" s="1485"/>
      <c r="I46" s="1486"/>
      <c r="J46" s="1487">
        <f t="shared" si="0"/>
        <v>0</v>
      </c>
    </row>
    <row r="47" spans="1:10" ht="20.25" customHeight="1">
      <c r="A47" s="1488"/>
      <c r="B47" s="1230"/>
      <c r="C47" s="1204"/>
      <c r="D47" s="1204"/>
      <c r="E47" s="1204"/>
      <c r="F47" s="1204"/>
      <c r="G47" s="1204"/>
      <c r="H47" s="1485"/>
      <c r="I47" s="1486"/>
      <c r="J47" s="1487">
        <f t="shared" si="0"/>
        <v>0</v>
      </c>
    </row>
    <row r="48" spans="1:10" ht="20.25" customHeight="1">
      <c r="A48" s="1488"/>
      <c r="B48" s="1230"/>
      <c r="C48" s="1204"/>
      <c r="D48" s="1204"/>
      <c r="E48" s="1204"/>
      <c r="F48" s="1204"/>
      <c r="G48" s="1204"/>
      <c r="H48" s="1485"/>
      <c r="I48" s="1486"/>
      <c r="J48" s="1487">
        <f t="shared" si="0"/>
        <v>0</v>
      </c>
    </row>
    <row r="49" spans="1:10" ht="20.25" customHeight="1">
      <c r="A49" s="1488"/>
      <c r="B49" s="1230"/>
      <c r="C49" s="1204"/>
      <c r="D49" s="1204"/>
      <c r="E49" s="1204"/>
      <c r="F49" s="1204"/>
      <c r="G49" s="1204"/>
      <c r="H49" s="1485"/>
      <c r="I49" s="1486"/>
      <c r="J49" s="1487">
        <f t="shared" si="0"/>
        <v>0</v>
      </c>
    </row>
    <row r="50" spans="1:10" ht="20.25" customHeight="1">
      <c r="A50" s="1488"/>
      <c r="B50" s="1230"/>
      <c r="C50" s="1204"/>
      <c r="D50" s="1204"/>
      <c r="E50" s="1204"/>
      <c r="F50" s="1204"/>
      <c r="G50" s="1204"/>
      <c r="H50" s="1485"/>
      <c r="I50" s="1486"/>
      <c r="J50" s="1487">
        <f t="shared" si="0"/>
        <v>0</v>
      </c>
    </row>
    <row r="51" spans="1:10" ht="20.25" customHeight="1">
      <c r="A51" s="1488"/>
      <c r="B51" s="1230"/>
      <c r="C51" s="1204"/>
      <c r="D51" s="1204"/>
      <c r="E51" s="1204"/>
      <c r="F51" s="1204"/>
      <c r="G51" s="1204"/>
      <c r="H51" s="1485"/>
      <c r="I51" s="1486"/>
      <c r="J51" s="1487">
        <f t="shared" si="0"/>
        <v>0</v>
      </c>
    </row>
    <row r="52" spans="1:10" ht="20.25" customHeight="1">
      <c r="A52" s="1488"/>
      <c r="B52" s="1230"/>
      <c r="C52" s="1204"/>
      <c r="D52" s="1204"/>
      <c r="E52" s="1204"/>
      <c r="F52" s="1204"/>
      <c r="G52" s="1204"/>
      <c r="H52" s="1485"/>
      <c r="I52" s="1486"/>
      <c r="J52" s="1487">
        <f t="shared" si="0"/>
        <v>0</v>
      </c>
    </row>
    <row r="53" spans="1:10" ht="20.25" customHeight="1">
      <c r="A53" s="1488"/>
      <c r="B53" s="1230"/>
      <c r="C53" s="1204"/>
      <c r="D53" s="1204"/>
      <c r="E53" s="1204"/>
      <c r="F53" s="1204"/>
      <c r="G53" s="1204"/>
      <c r="H53" s="1485"/>
      <c r="I53" s="1486"/>
      <c r="J53" s="1487">
        <f t="shared" si="0"/>
        <v>0</v>
      </c>
    </row>
    <row r="54" spans="1:10" ht="20.25" customHeight="1">
      <c r="A54" s="1488"/>
      <c r="B54" s="1230"/>
      <c r="C54" s="1204"/>
      <c r="D54" s="1204"/>
      <c r="E54" s="1204"/>
      <c r="F54" s="1204"/>
      <c r="G54" s="1204"/>
      <c r="H54" s="1485"/>
      <c r="I54" s="1486"/>
      <c r="J54" s="1487">
        <f t="shared" si="0"/>
        <v>0</v>
      </c>
    </row>
    <row r="55" spans="1:10" ht="20.25" customHeight="1">
      <c r="A55" s="1488"/>
      <c r="B55" s="1230"/>
      <c r="C55" s="1204"/>
      <c r="D55" s="1204"/>
      <c r="E55" s="1204"/>
      <c r="F55" s="1204"/>
      <c r="G55" s="1204"/>
      <c r="H55" s="1485"/>
      <c r="I55" s="1486"/>
      <c r="J55" s="1487">
        <f t="shared" si="0"/>
        <v>0</v>
      </c>
    </row>
    <row r="56" spans="1:10" ht="20.25" customHeight="1">
      <c r="A56" s="1488"/>
      <c r="B56" s="1230"/>
      <c r="C56" s="1204"/>
      <c r="D56" s="1204"/>
      <c r="E56" s="1204"/>
      <c r="F56" s="1204"/>
      <c r="G56" s="1204"/>
      <c r="H56" s="1485"/>
      <c r="I56" s="1486"/>
      <c r="J56" s="1487">
        <f t="shared" si="0"/>
        <v>0</v>
      </c>
    </row>
    <row r="57" spans="1:10" ht="20.25" customHeight="1">
      <c r="A57" s="1488"/>
      <c r="B57" s="1230"/>
      <c r="C57" s="1204"/>
      <c r="D57" s="1204"/>
      <c r="E57" s="1204"/>
      <c r="F57" s="1204"/>
      <c r="G57" s="1204"/>
      <c r="H57" s="1485"/>
      <c r="I57" s="1486"/>
      <c r="J57" s="1487">
        <f t="shared" si="0"/>
        <v>0</v>
      </c>
    </row>
    <row r="58" spans="1:10" ht="20.25" customHeight="1">
      <c r="A58" s="1488"/>
      <c r="B58" s="1230"/>
      <c r="C58" s="1204"/>
      <c r="D58" s="1204"/>
      <c r="E58" s="1204"/>
      <c r="F58" s="1204"/>
      <c r="G58" s="1204"/>
      <c r="H58" s="1485"/>
      <c r="I58" s="1486"/>
      <c r="J58" s="1487">
        <f t="shared" si="0"/>
        <v>0</v>
      </c>
    </row>
    <row r="59" spans="1:10" ht="20.25" customHeight="1">
      <c r="A59" s="1488"/>
      <c r="B59" s="1230"/>
      <c r="C59" s="1204"/>
      <c r="D59" s="1204"/>
      <c r="E59" s="1204"/>
      <c r="F59" s="1204"/>
      <c r="G59" s="1204"/>
      <c r="H59" s="1485"/>
      <c r="I59" s="1486"/>
      <c r="J59" s="1487">
        <f t="shared" si="0"/>
        <v>0</v>
      </c>
    </row>
    <row r="60" spans="1:10" ht="20.25" customHeight="1">
      <c r="A60" s="1488"/>
      <c r="B60" s="1230"/>
      <c r="C60" s="1204"/>
      <c r="D60" s="1204"/>
      <c r="E60" s="1204"/>
      <c r="F60" s="1204"/>
      <c r="G60" s="1204"/>
      <c r="H60" s="1485"/>
      <c r="I60" s="1486"/>
      <c r="J60" s="1487">
        <f t="shared" si="0"/>
        <v>0</v>
      </c>
    </row>
    <row r="61" spans="1:10" ht="20.25" customHeight="1">
      <c r="A61" s="1488"/>
      <c r="B61" s="1230"/>
      <c r="C61" s="1204"/>
      <c r="D61" s="1204"/>
      <c r="E61" s="1204"/>
      <c r="F61" s="1204"/>
      <c r="G61" s="1204"/>
      <c r="H61" s="1485"/>
      <c r="I61" s="1486"/>
      <c r="J61" s="1487">
        <f t="shared" si="0"/>
        <v>0</v>
      </c>
    </row>
    <row r="62" spans="1:10" ht="20.25" customHeight="1">
      <c r="A62" s="1488"/>
      <c r="B62" s="1230"/>
      <c r="C62" s="1204"/>
      <c r="D62" s="1204"/>
      <c r="E62" s="1204"/>
      <c r="F62" s="1204"/>
      <c r="G62" s="1204"/>
      <c r="H62" s="1485"/>
      <c r="I62" s="1486"/>
      <c r="J62" s="1487">
        <f t="shared" si="0"/>
        <v>0</v>
      </c>
    </row>
    <row r="63" spans="1:10" ht="20.25" customHeight="1">
      <c r="A63" s="1488"/>
      <c r="B63" s="1230"/>
      <c r="C63" s="1204"/>
      <c r="D63" s="1204"/>
      <c r="E63" s="1204"/>
      <c r="F63" s="1204"/>
      <c r="G63" s="1204"/>
      <c r="H63" s="1485"/>
      <c r="I63" s="1486"/>
      <c r="J63" s="1487">
        <f t="shared" si="0"/>
        <v>0</v>
      </c>
    </row>
    <row r="64" spans="1:10" ht="20.25" customHeight="1">
      <c r="A64" s="1488"/>
      <c r="B64" s="1230"/>
      <c r="C64" s="1204"/>
      <c r="D64" s="1204"/>
      <c r="E64" s="1204"/>
      <c r="F64" s="1204"/>
      <c r="G64" s="1204"/>
      <c r="H64" s="1485"/>
      <c r="I64" s="1486"/>
      <c r="J64" s="1487">
        <f t="shared" si="0"/>
        <v>0</v>
      </c>
    </row>
    <row r="65" spans="1:10" ht="20.25" customHeight="1">
      <c r="A65" s="1488"/>
      <c r="B65" s="1230"/>
      <c r="C65" s="1204"/>
      <c r="D65" s="1204"/>
      <c r="E65" s="1204"/>
      <c r="F65" s="1204"/>
      <c r="G65" s="1204"/>
      <c r="H65" s="1485"/>
      <c r="I65" s="1486"/>
      <c r="J65" s="1487">
        <f t="shared" si="0"/>
        <v>0</v>
      </c>
    </row>
  </sheetData>
  <sheetProtection password="CC3A" sheet="1" objects="1" scenarios="1" formatCells="0" formatColumns="0" formatRows="0"/>
  <mergeCells count="19">
    <mergeCell ref="H8:H9"/>
    <mergeCell ref="I8:I9"/>
    <mergeCell ref="J8:J9"/>
    <mergeCell ref="L4:P10"/>
    <mergeCell ref="A1:J1"/>
    <mergeCell ref="D2:E2"/>
    <mergeCell ref="H2:J2"/>
    <mergeCell ref="H3:J3"/>
    <mergeCell ref="A4:B4"/>
    <mergeCell ref="D4:E4"/>
    <mergeCell ref="I4:J4"/>
    <mergeCell ref="A10:D10"/>
    <mergeCell ref="A6:H6"/>
    <mergeCell ref="I6:J6"/>
    <mergeCell ref="A8:A9"/>
    <mergeCell ref="B8:B9"/>
    <mergeCell ref="C8:C9"/>
    <mergeCell ref="D8:E8"/>
    <mergeCell ref="F8:G8"/>
  </mergeCells>
  <hyperlinks>
    <hyperlink ref="L1" location="Weideblatt!A1" display="◄"/>
    <hyperlink ref="M1" location="Pfl_Schutz!A1" display="  ►"/>
  </hyperlinks>
  <pageMargins left="0.39370078740157483" right="0.35433070866141736" top="0.43307086614173229" bottom="0.39370078740157483" header="0.51181102362204722" footer="0.51181102362204722"/>
  <pageSetup paperSize="9" scale="80" firstPageNumber="0"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H38"/>
  <sheetViews>
    <sheetView showZeros="0" zoomScale="90" zoomScaleNormal="90" zoomScalePageLayoutView="90" workbookViewId="0">
      <selection activeCell="G1" sqref="G1"/>
    </sheetView>
  </sheetViews>
  <sheetFormatPr baseColWidth="10" defaultColWidth="12.28515625" defaultRowHeight="12.75"/>
  <cols>
    <col min="1" max="1" width="11.7109375" customWidth="1"/>
    <col min="2" max="2" width="17.140625" customWidth="1"/>
    <col min="3" max="3" width="19.28515625" customWidth="1"/>
    <col min="4" max="4" width="7" customWidth="1"/>
    <col min="5" max="5" width="24.140625" customWidth="1"/>
    <col min="6" max="6" width="16" customWidth="1"/>
    <col min="7" max="7" width="19.7109375" customWidth="1"/>
    <col min="8" max="8" width="22" customWidth="1"/>
    <col min="9" max="9" width="17.85546875" customWidth="1"/>
  </cols>
  <sheetData>
    <row r="1" spans="1:8" ht="33" customHeight="1">
      <c r="A1" s="3318" t="s">
        <v>1538</v>
      </c>
      <c r="B1" s="3318"/>
      <c r="C1" s="3318"/>
      <c r="D1" s="3318"/>
      <c r="E1" s="3318"/>
      <c r="F1" s="3318"/>
      <c r="G1" s="1206" t="s">
        <v>413</v>
      </c>
      <c r="H1" s="1206" t="s">
        <v>381</v>
      </c>
    </row>
    <row r="2" spans="1:8" ht="25.5" customHeight="1">
      <c r="A2" s="194" t="s">
        <v>1539</v>
      </c>
      <c r="B2" s="3319" t="str">
        <f>Betrieb!B4&amp;" "&amp;Betrieb!B6&amp;" "&amp;Betrieb!C6</f>
        <v xml:space="preserve">  </v>
      </c>
      <c r="C2" s="3319"/>
      <c r="D2" s="3319"/>
      <c r="E2" s="194" t="s">
        <v>1540</v>
      </c>
      <c r="F2" s="1231">
        <f>Betrieb!C3</f>
        <v>0</v>
      </c>
    </row>
    <row r="3" spans="1:8" ht="39.75" customHeight="1">
      <c r="A3" s="1232" t="s">
        <v>1392</v>
      </c>
      <c r="B3" s="1233" t="s">
        <v>1541</v>
      </c>
      <c r="C3" s="1232" t="s">
        <v>1542</v>
      </c>
      <c r="D3" s="1233" t="s">
        <v>424</v>
      </c>
      <c r="E3" s="1233" t="s">
        <v>1543</v>
      </c>
      <c r="F3" s="1858" t="s">
        <v>1544</v>
      </c>
      <c r="G3" s="1859" t="s">
        <v>1838</v>
      </c>
    </row>
    <row r="4" spans="1:8" ht="19.5" customHeight="1">
      <c r="A4" s="1234"/>
      <c r="B4" s="1235"/>
      <c r="C4" s="1236"/>
      <c r="D4" s="1235"/>
      <c r="E4" s="1235"/>
      <c r="F4" s="1235"/>
      <c r="G4" s="1235"/>
    </row>
    <row r="5" spans="1:8" ht="19.5" customHeight="1">
      <c r="A5" s="1234"/>
      <c r="B5" s="1235"/>
      <c r="C5" s="1236"/>
      <c r="D5" s="1235"/>
      <c r="E5" s="1235"/>
      <c r="F5" s="1235"/>
      <c r="G5" s="1235"/>
    </row>
    <row r="6" spans="1:8" ht="19.5" customHeight="1">
      <c r="A6" s="1234"/>
      <c r="B6" s="1235"/>
      <c r="C6" s="1236"/>
      <c r="D6" s="1235"/>
      <c r="E6" s="1235"/>
      <c r="F6" s="1235"/>
      <c r="G6" s="1235"/>
    </row>
    <row r="7" spans="1:8" ht="19.5" customHeight="1">
      <c r="A7" s="1234"/>
      <c r="B7" s="1235"/>
      <c r="C7" s="1236"/>
      <c r="D7" s="1235"/>
      <c r="E7" s="1235"/>
      <c r="F7" s="1235"/>
      <c r="G7" s="1235"/>
    </row>
    <row r="8" spans="1:8" ht="19.5" customHeight="1">
      <c r="A8" s="1234"/>
      <c r="B8" s="1235"/>
      <c r="C8" s="1236"/>
      <c r="D8" s="1235"/>
      <c r="E8" s="1235"/>
      <c r="F8" s="1235"/>
      <c r="G8" s="1235"/>
    </row>
    <row r="9" spans="1:8" ht="19.5" customHeight="1">
      <c r="A9" s="1234"/>
      <c r="B9" s="1235"/>
      <c r="C9" s="1236"/>
      <c r="D9" s="1235"/>
      <c r="E9" s="1235"/>
      <c r="F9" s="1235"/>
      <c r="G9" s="1235"/>
    </row>
    <row r="10" spans="1:8" ht="19.5" customHeight="1">
      <c r="A10" s="1234"/>
      <c r="B10" s="1235"/>
      <c r="C10" s="1236"/>
      <c r="D10" s="1235"/>
      <c r="E10" s="1235"/>
      <c r="F10" s="1235"/>
      <c r="G10" s="1235"/>
    </row>
    <row r="11" spans="1:8" ht="19.5" customHeight="1">
      <c r="A11" s="1234"/>
      <c r="B11" s="1235"/>
      <c r="C11" s="1236"/>
      <c r="D11" s="1235"/>
      <c r="E11" s="1235"/>
      <c r="F11" s="1235"/>
      <c r="G11" s="1235"/>
    </row>
    <row r="12" spans="1:8" ht="19.5" customHeight="1">
      <c r="A12" s="1234"/>
      <c r="B12" s="1235"/>
      <c r="C12" s="1236"/>
      <c r="D12" s="1235"/>
      <c r="E12" s="1235"/>
      <c r="F12" s="1235"/>
      <c r="G12" s="1235"/>
    </row>
    <row r="13" spans="1:8" ht="19.5" customHeight="1">
      <c r="A13" s="1234"/>
      <c r="B13" s="1235"/>
      <c r="C13" s="1236"/>
      <c r="D13" s="1235"/>
      <c r="E13" s="1235"/>
      <c r="F13" s="1235"/>
      <c r="G13" s="1235"/>
    </row>
    <row r="14" spans="1:8" ht="19.5" customHeight="1">
      <c r="A14" s="1234"/>
      <c r="B14" s="1235"/>
      <c r="C14" s="1236"/>
      <c r="D14" s="1235"/>
      <c r="E14" s="1235"/>
      <c r="F14" s="1235"/>
      <c r="G14" s="1235"/>
    </row>
    <row r="15" spans="1:8" ht="19.5" customHeight="1">
      <c r="A15" s="1234"/>
      <c r="B15" s="1235"/>
      <c r="C15" s="1236"/>
      <c r="D15" s="1235"/>
      <c r="E15" s="1235"/>
      <c r="F15" s="1235"/>
      <c r="G15" s="1235"/>
    </row>
    <row r="16" spans="1:8" ht="19.5" customHeight="1">
      <c r="A16" s="1234"/>
      <c r="B16" s="1235"/>
      <c r="C16" s="1236"/>
      <c r="D16" s="1235"/>
      <c r="E16" s="1235"/>
      <c r="F16" s="1235"/>
      <c r="G16" s="1235"/>
    </row>
    <row r="17" spans="1:7" ht="19.5" customHeight="1">
      <c r="A17" s="1234"/>
      <c r="B17" s="1235"/>
      <c r="C17" s="1236"/>
      <c r="D17" s="1235"/>
      <c r="E17" s="1235"/>
      <c r="F17" s="1235"/>
      <c r="G17" s="1235"/>
    </row>
    <row r="18" spans="1:7" ht="19.5" customHeight="1">
      <c r="A18" s="1234"/>
      <c r="B18" s="1235"/>
      <c r="C18" s="1236"/>
      <c r="D18" s="1235"/>
      <c r="E18" s="1235"/>
      <c r="F18" s="1235"/>
      <c r="G18" s="1235"/>
    </row>
    <row r="19" spans="1:7" ht="19.5" customHeight="1">
      <c r="A19" s="1234"/>
      <c r="B19" s="1235"/>
      <c r="C19" s="1236"/>
      <c r="D19" s="1235"/>
      <c r="E19" s="1235"/>
      <c r="F19" s="1235"/>
      <c r="G19" s="1235"/>
    </row>
    <row r="20" spans="1:7" ht="19.5" customHeight="1">
      <c r="A20" s="1234"/>
      <c r="B20" s="1235"/>
      <c r="C20" s="1236"/>
      <c r="D20" s="1235"/>
      <c r="E20" s="1235"/>
      <c r="F20" s="1235"/>
      <c r="G20" s="1235"/>
    </row>
    <row r="21" spans="1:7" ht="19.5" customHeight="1">
      <c r="A21" s="1234"/>
      <c r="B21" s="1235"/>
      <c r="C21" s="1236"/>
      <c r="D21" s="1235"/>
      <c r="E21" s="1235"/>
      <c r="F21" s="1235"/>
      <c r="G21" s="1235"/>
    </row>
    <row r="22" spans="1:7" ht="19.5" customHeight="1">
      <c r="A22" s="1234"/>
      <c r="B22" s="1235"/>
      <c r="C22" s="1236"/>
      <c r="D22" s="1235"/>
      <c r="E22" s="1235"/>
      <c r="F22" s="1235"/>
      <c r="G22" s="1235"/>
    </row>
    <row r="23" spans="1:7" ht="19.5" customHeight="1">
      <c r="A23" s="1234"/>
      <c r="B23" s="1235"/>
      <c r="C23" s="1236"/>
      <c r="D23" s="1235"/>
      <c r="E23" s="1235"/>
      <c r="F23" s="1235"/>
      <c r="G23" s="1235"/>
    </row>
    <row r="24" spans="1:7" ht="19.5" customHeight="1">
      <c r="A24" s="1234"/>
      <c r="B24" s="1235"/>
      <c r="C24" s="1236"/>
      <c r="D24" s="1235"/>
      <c r="E24" s="1235"/>
      <c r="F24" s="1235"/>
      <c r="G24" s="1235"/>
    </row>
    <row r="25" spans="1:7" ht="19.5" customHeight="1">
      <c r="A25" s="1234"/>
      <c r="B25" s="1235"/>
      <c r="C25" s="1236"/>
      <c r="D25" s="1235"/>
      <c r="E25" s="1235"/>
      <c r="F25" s="1235"/>
      <c r="G25" s="1235"/>
    </row>
    <row r="26" spans="1:7" ht="19.5" customHeight="1">
      <c r="A26" s="1234"/>
      <c r="B26" s="1235"/>
      <c r="C26" s="1236"/>
      <c r="D26" s="1235"/>
      <c r="E26" s="1235"/>
      <c r="F26" s="1235"/>
      <c r="G26" s="1235"/>
    </row>
    <row r="27" spans="1:7" ht="19.5" customHeight="1">
      <c r="A27" s="1234"/>
      <c r="B27" s="1235"/>
      <c r="C27" s="1236"/>
      <c r="D27" s="1235"/>
      <c r="E27" s="1235"/>
      <c r="F27" s="1235"/>
      <c r="G27" s="1235"/>
    </row>
    <row r="28" spans="1:7" ht="19.5" customHeight="1">
      <c r="A28" s="1234"/>
      <c r="B28" s="1235"/>
      <c r="C28" s="1236"/>
      <c r="D28" s="1235"/>
      <c r="E28" s="1235"/>
      <c r="F28" s="1235"/>
      <c r="G28" s="1235"/>
    </row>
    <row r="29" spans="1:7" ht="19.5" customHeight="1">
      <c r="A29" s="1234"/>
      <c r="B29" s="1235"/>
      <c r="C29" s="1236"/>
      <c r="D29" s="1235"/>
      <c r="E29" s="1235"/>
      <c r="F29" s="1235"/>
      <c r="G29" s="1235"/>
    </row>
    <row r="30" spans="1:7" ht="19.5" customHeight="1">
      <c r="A30" s="1234"/>
      <c r="B30" s="1235"/>
      <c r="C30" s="1236"/>
      <c r="D30" s="1235"/>
      <c r="E30" s="1235"/>
      <c r="F30" s="1235"/>
      <c r="G30" s="1235"/>
    </row>
    <row r="31" spans="1:7" ht="19.5" customHeight="1">
      <c r="A31" s="1234"/>
      <c r="B31" s="1235"/>
      <c r="C31" s="1236"/>
      <c r="D31" s="1235"/>
      <c r="E31" s="1235"/>
      <c r="F31" s="1235"/>
      <c r="G31" s="1235"/>
    </row>
    <row r="32" spans="1:7" ht="19.5" customHeight="1">
      <c r="A32" s="1234"/>
      <c r="B32" s="1235"/>
      <c r="C32" s="1236"/>
      <c r="D32" s="1235"/>
      <c r="E32" s="1235"/>
      <c r="F32" s="1235"/>
      <c r="G32" s="1235"/>
    </row>
    <row r="33" spans="1:7" ht="19.5" customHeight="1">
      <c r="A33" s="1234"/>
      <c r="B33" s="1235"/>
      <c r="C33" s="1236"/>
      <c r="D33" s="1235"/>
      <c r="E33" s="1235"/>
      <c r="F33" s="1235"/>
      <c r="G33" s="1235"/>
    </row>
    <row r="34" spans="1:7" ht="19.5" customHeight="1">
      <c r="A34" s="1234"/>
      <c r="B34" s="1235"/>
      <c r="C34" s="1236"/>
      <c r="D34" s="1235"/>
      <c r="E34" s="1235"/>
      <c r="F34" s="1235"/>
      <c r="G34" s="1235"/>
    </row>
    <row r="35" spans="1:7" ht="19.5" customHeight="1">
      <c r="A35" s="1234"/>
      <c r="B35" s="1235"/>
      <c r="C35" s="1236"/>
      <c r="D35" s="1235"/>
      <c r="E35" s="1235"/>
      <c r="F35" s="1235"/>
      <c r="G35" s="1235"/>
    </row>
    <row r="36" spans="1:7" ht="19.5" customHeight="1">
      <c r="A36" s="1237"/>
      <c r="B36" s="1238"/>
      <c r="C36" s="1239"/>
      <c r="D36" s="1238"/>
      <c r="E36" s="1238"/>
      <c r="F36" s="1238"/>
      <c r="G36" s="1238"/>
    </row>
    <row r="37" spans="1:7" ht="60.75" customHeight="1">
      <c r="A37" s="3320" t="s">
        <v>1545</v>
      </c>
      <c r="B37" s="3320"/>
      <c r="C37" s="3320"/>
      <c r="D37" s="3320"/>
      <c r="E37" s="3320"/>
      <c r="F37" s="3320"/>
    </row>
    <row r="38" spans="1:7" ht="81" customHeight="1">
      <c r="A38" s="3321" t="s">
        <v>1546</v>
      </c>
      <c r="B38" s="3321"/>
      <c r="C38" s="3321"/>
      <c r="D38" s="3321"/>
      <c r="E38" s="3321"/>
      <c r="F38" s="3321"/>
    </row>
  </sheetData>
  <sheetProtection sheet="1" objects="1" scenarios="1" formatCells="0" formatColumns="0" formatRows="0" insertColumns="0" insertRows="0"/>
  <mergeCells count="4">
    <mergeCell ref="A1:F1"/>
    <mergeCell ref="B2:D2"/>
    <mergeCell ref="A37:F37"/>
    <mergeCell ref="A38:F38"/>
  </mergeCells>
  <hyperlinks>
    <hyperlink ref="G1" location="Bodennah!A1" display="◄"/>
    <hyperlink ref="H1" location="Schw_Geflügel!A1" display="  ►"/>
  </hyperlinks>
  <pageMargins left="0.59055118110236227" right="0.55118110236220474" top="0.70866141732283472" bottom="0.78740157480314965" header="0.51181102362204722" footer="0.51181102362204722"/>
  <pageSetup paperSize="9" scale="95" firstPageNumber="0"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Zeros="0" zoomScaleNormal="100" zoomScalePageLayoutView="90" workbookViewId="0">
      <selection activeCell="H1" sqref="H1"/>
    </sheetView>
  </sheetViews>
  <sheetFormatPr baseColWidth="10" defaultColWidth="12.7109375" defaultRowHeight="18"/>
  <cols>
    <col min="1" max="4" width="18.85546875" style="1240" customWidth="1"/>
    <col min="5" max="7" width="0" style="1240" hidden="1" customWidth="1"/>
    <col min="8" max="16384" width="12.7109375" style="1240"/>
  </cols>
  <sheetData>
    <row r="1" spans="1:11" ht="24" customHeight="1">
      <c r="A1" s="3327" t="s">
        <v>1713</v>
      </c>
      <c r="B1" s="3328"/>
      <c r="C1" s="3328"/>
      <c r="D1" s="3329"/>
      <c r="E1" s="1241"/>
      <c r="F1" s="1242" t="s">
        <v>763</v>
      </c>
      <c r="G1" s="1243">
        <v>1.26</v>
      </c>
      <c r="H1" s="1185" t="s">
        <v>413</v>
      </c>
      <c r="I1" s="3324" t="s">
        <v>1547</v>
      </c>
      <c r="J1" s="3324"/>
      <c r="K1" s="1185" t="s">
        <v>381</v>
      </c>
    </row>
    <row r="2" spans="1:11" ht="18.75" customHeight="1">
      <c r="A2" s="1899"/>
      <c r="B2" s="1900"/>
      <c r="C2" s="1901" t="s">
        <v>1714</v>
      </c>
      <c r="D2" s="1505"/>
      <c r="E2" s="1241"/>
      <c r="F2" s="1242" t="s">
        <v>1548</v>
      </c>
      <c r="G2" s="1243">
        <v>1.3</v>
      </c>
      <c r="H2" s="1241"/>
      <c r="I2" s="1244" t="s">
        <v>1549</v>
      </c>
      <c r="J2" s="1241"/>
    </row>
    <row r="3" spans="1:11" ht="20.25" customHeight="1">
      <c r="A3" s="3325" t="s">
        <v>1550</v>
      </c>
      <c r="B3" s="3325"/>
      <c r="C3" s="3325"/>
      <c r="D3" s="1902">
        <f>G106/F106</f>
        <v>0</v>
      </c>
      <c r="E3" s="1241"/>
      <c r="F3" s="1242" t="s">
        <v>1551</v>
      </c>
      <c r="G3" s="1243">
        <v>1.4</v>
      </c>
      <c r="H3" s="1241"/>
      <c r="I3" s="1245" t="s">
        <v>1552</v>
      </c>
      <c r="J3" s="1241"/>
    </row>
    <row r="4" spans="1:11" ht="22.5" customHeight="1">
      <c r="A4" s="3322" t="s">
        <v>1553</v>
      </c>
      <c r="B4" s="3322"/>
      <c r="C4" s="3322"/>
      <c r="D4" s="3322"/>
      <c r="E4" s="1246"/>
      <c r="F4" s="1247" t="s">
        <v>771</v>
      </c>
      <c r="G4" s="1248">
        <v>1.22</v>
      </c>
      <c r="H4" s="1241"/>
      <c r="I4"/>
      <c r="J4" s="1241"/>
    </row>
    <row r="5" spans="1:11" ht="18" customHeight="1">
      <c r="A5" s="3326" t="s">
        <v>763</v>
      </c>
      <c r="B5" s="3326"/>
      <c r="C5" s="3326"/>
      <c r="D5" s="1249">
        <f>VLOOKUP(A5,F1:G5,2,0)*D3</f>
        <v>0</v>
      </c>
      <c r="E5" s="1246"/>
      <c r="F5" s="1242" t="s">
        <v>766</v>
      </c>
      <c r="G5" s="1243">
        <v>1</v>
      </c>
      <c r="H5" s="1241"/>
      <c r="I5"/>
      <c r="J5" s="1241"/>
    </row>
    <row r="6" spans="1:11" ht="8.25" customHeight="1">
      <c r="A6" s="1250"/>
      <c r="B6" s="1251"/>
      <c r="C6" s="1251"/>
      <c r="D6" s="1252"/>
      <c r="E6" s="1253"/>
      <c r="F6" s="493"/>
      <c r="G6" s="493"/>
      <c r="H6" s="1241"/>
      <c r="I6"/>
      <c r="J6" s="1241"/>
    </row>
    <row r="7" spans="1:11" ht="22.5" customHeight="1">
      <c r="A7" s="3322" t="s">
        <v>1554</v>
      </c>
      <c r="B7" s="3322"/>
      <c r="C7" s="3322"/>
      <c r="D7" s="1903"/>
      <c r="E7" s="493"/>
      <c r="F7" s="493"/>
      <c r="G7" s="493"/>
      <c r="H7" s="1241"/>
      <c r="I7" s="1244" t="s">
        <v>1555</v>
      </c>
      <c r="J7" s="1241"/>
    </row>
    <row r="8" spans="1:11" ht="18" customHeight="1">
      <c r="A8" s="1904" t="s">
        <v>1392</v>
      </c>
      <c r="B8" s="1904" t="s">
        <v>1556</v>
      </c>
      <c r="C8" s="1904" t="s">
        <v>1557</v>
      </c>
      <c r="D8" s="1904" t="s">
        <v>1558</v>
      </c>
      <c r="E8" s="493"/>
      <c r="F8" s="1254" t="s">
        <v>1559</v>
      </c>
      <c r="G8" s="1254" t="s">
        <v>1560</v>
      </c>
      <c r="H8" s="1241"/>
      <c r="I8" s="1255" t="s">
        <v>1715</v>
      </c>
      <c r="J8" s="1241"/>
    </row>
    <row r="9" spans="1:11" ht="18" customHeight="1">
      <c r="A9" s="1256">
        <f>$D$2</f>
        <v>0</v>
      </c>
      <c r="B9" s="3323" t="s">
        <v>1561</v>
      </c>
      <c r="C9" s="3323"/>
      <c r="D9" s="1258"/>
      <c r="E9" s="493"/>
      <c r="F9" s="1259"/>
      <c r="G9" s="1259">
        <f t="shared" ref="G9:G103" si="0">D9*F10</f>
        <v>0</v>
      </c>
      <c r="H9" s="1241"/>
      <c r="I9" s="1245" t="s">
        <v>1562</v>
      </c>
      <c r="J9" s="1241"/>
    </row>
    <row r="10" spans="1:11">
      <c r="A10" s="1260"/>
      <c r="B10" s="1261"/>
      <c r="C10" s="1261"/>
      <c r="D10" s="1262">
        <f t="shared" ref="D10:D103" si="1">IF(A10&gt;0,$D$9+SUM(B$9:B10)-SUM(C$9:C10),0)</f>
        <v>0</v>
      </c>
      <c r="E10" s="493"/>
      <c r="F10" s="1263">
        <f t="shared" ref="F10:F100" si="2">IF(A10&gt;0,A10-A9,0)</f>
        <v>0</v>
      </c>
      <c r="G10" s="1259">
        <f t="shared" si="0"/>
        <v>0</v>
      </c>
      <c r="H10" s="1241"/>
      <c r="I10" s="1264" t="s">
        <v>1563</v>
      </c>
    </row>
    <row r="11" spans="1:11">
      <c r="A11" s="1260"/>
      <c r="B11" s="1261"/>
      <c r="C11" s="1261"/>
      <c r="D11" s="1262">
        <f t="shared" si="1"/>
        <v>0</v>
      </c>
      <c r="E11" s="493"/>
      <c r="F11" s="1263">
        <f t="shared" si="2"/>
        <v>0</v>
      </c>
      <c r="G11" s="1259">
        <f t="shared" si="0"/>
        <v>0</v>
      </c>
      <c r="H11" s="1241"/>
      <c r="I11" s="1245" t="s">
        <v>1564</v>
      </c>
    </row>
    <row r="12" spans="1:11">
      <c r="A12" s="1260"/>
      <c r="B12" s="1261"/>
      <c r="C12" s="1261"/>
      <c r="D12" s="1262">
        <f t="shared" si="1"/>
        <v>0</v>
      </c>
      <c r="E12" s="493"/>
      <c r="F12" s="1263">
        <f t="shared" si="2"/>
        <v>0</v>
      </c>
      <c r="G12" s="1259">
        <f t="shared" si="0"/>
        <v>0</v>
      </c>
      <c r="H12" s="1241"/>
      <c r="I12" s="1245" t="s">
        <v>1565</v>
      </c>
    </row>
    <row r="13" spans="1:11">
      <c r="A13" s="1260"/>
      <c r="B13" s="1261"/>
      <c r="C13" s="1261"/>
      <c r="D13" s="1262">
        <f t="shared" si="1"/>
        <v>0</v>
      </c>
      <c r="E13" s="493"/>
      <c r="F13" s="1263">
        <f t="shared" si="2"/>
        <v>0</v>
      </c>
      <c r="G13" s="1259">
        <f t="shared" si="0"/>
        <v>0</v>
      </c>
      <c r="H13" s="1241"/>
      <c r="I13" s="1245" t="s">
        <v>1566</v>
      </c>
    </row>
    <row r="14" spans="1:11">
      <c r="A14" s="1260"/>
      <c r="B14" s="1261"/>
      <c r="C14" s="1261"/>
      <c r="D14" s="1262">
        <f t="shared" si="1"/>
        <v>0</v>
      </c>
      <c r="E14" s="493"/>
      <c r="F14" s="1263">
        <f t="shared" si="2"/>
        <v>0</v>
      </c>
      <c r="G14" s="1259">
        <f t="shared" si="0"/>
        <v>0</v>
      </c>
      <c r="H14" s="1241"/>
      <c r="I14" s="1245" t="s">
        <v>1567</v>
      </c>
    </row>
    <row r="15" spans="1:11">
      <c r="A15" s="1260"/>
      <c r="B15" s="1261"/>
      <c r="C15" s="1261"/>
      <c r="D15" s="1262">
        <f t="shared" si="1"/>
        <v>0</v>
      </c>
      <c r="E15" s="493"/>
      <c r="F15" s="1263">
        <f t="shared" si="2"/>
        <v>0</v>
      </c>
      <c r="G15" s="1259">
        <f t="shared" si="0"/>
        <v>0</v>
      </c>
      <c r="H15" s="1241"/>
      <c r="I15" s="1245" t="s">
        <v>1568</v>
      </c>
    </row>
    <row r="16" spans="1:11">
      <c r="A16" s="1260"/>
      <c r="B16" s="1261"/>
      <c r="C16" s="1261"/>
      <c r="D16" s="1262">
        <f t="shared" si="1"/>
        <v>0</v>
      </c>
      <c r="E16" s="493"/>
      <c r="F16" s="1263">
        <f t="shared" si="2"/>
        <v>0</v>
      </c>
      <c r="G16" s="1259">
        <f t="shared" si="0"/>
        <v>0</v>
      </c>
      <c r="H16" s="1241"/>
      <c r="I16"/>
    </row>
    <row r="17" spans="1:15" ht="18" customHeight="1">
      <c r="A17" s="1260"/>
      <c r="B17" s="1261"/>
      <c r="C17" s="1261"/>
      <c r="D17" s="1262">
        <f t="shared" si="1"/>
        <v>0</v>
      </c>
      <c r="E17" s="493"/>
      <c r="F17" s="1263">
        <f t="shared" si="2"/>
        <v>0</v>
      </c>
      <c r="G17" s="1259">
        <f t="shared" si="0"/>
        <v>0</v>
      </c>
      <c r="H17" s="1241"/>
      <c r="I17" s="2808" t="s">
        <v>2150</v>
      </c>
      <c r="O17" s="2807"/>
    </row>
    <row r="18" spans="1:15">
      <c r="A18" s="1260"/>
      <c r="B18" s="1261"/>
      <c r="C18" s="1261"/>
      <c r="D18" s="1262">
        <f t="shared" si="1"/>
        <v>0</v>
      </c>
      <c r="E18" s="493"/>
      <c r="F18" s="1263">
        <f t="shared" si="2"/>
        <v>0</v>
      </c>
      <c r="G18" s="1259">
        <f t="shared" si="0"/>
        <v>0</v>
      </c>
      <c r="H18" s="1241"/>
      <c r="I18" s="3089" t="s">
        <v>2149</v>
      </c>
      <c r="J18" s="3089"/>
      <c r="K18" s="3089"/>
      <c r="L18" s="3089"/>
      <c r="M18" s="3089"/>
      <c r="N18" s="3089"/>
      <c r="O18" s="2807"/>
    </row>
    <row r="19" spans="1:15">
      <c r="A19" s="1260"/>
      <c r="B19" s="1261"/>
      <c r="C19" s="1261"/>
      <c r="D19" s="1262">
        <f t="shared" si="1"/>
        <v>0</v>
      </c>
      <c r="E19" s="493"/>
      <c r="F19" s="1263">
        <f t="shared" si="2"/>
        <v>0</v>
      </c>
      <c r="G19" s="1259">
        <f t="shared" si="0"/>
        <v>0</v>
      </c>
      <c r="H19" s="1241"/>
      <c r="I19" s="3089"/>
      <c r="J19" s="3089"/>
      <c r="K19" s="3089"/>
      <c r="L19" s="3089"/>
      <c r="M19" s="3089"/>
      <c r="N19" s="3089"/>
    </row>
    <row r="20" spans="1:15">
      <c r="A20" s="1260"/>
      <c r="B20" s="1261"/>
      <c r="C20" s="1261"/>
      <c r="D20" s="1262">
        <f t="shared" si="1"/>
        <v>0</v>
      </c>
      <c r="E20" s="493"/>
      <c r="F20" s="1263">
        <f t="shared" si="2"/>
        <v>0</v>
      </c>
      <c r="G20" s="1259">
        <f t="shared" si="0"/>
        <v>0</v>
      </c>
      <c r="H20" s="1241"/>
      <c r="I20" s="2806" t="s">
        <v>2148</v>
      </c>
    </row>
    <row r="21" spans="1:15">
      <c r="A21" s="1260"/>
      <c r="B21" s="1261"/>
      <c r="C21" s="1261"/>
      <c r="D21" s="1262">
        <f t="shared" si="1"/>
        <v>0</v>
      </c>
      <c r="E21" s="493"/>
      <c r="F21" s="1263">
        <f t="shared" si="2"/>
        <v>0</v>
      </c>
      <c r="G21" s="1259">
        <f t="shared" si="0"/>
        <v>0</v>
      </c>
      <c r="H21" s="1241"/>
      <c r="I21" s="1241"/>
    </row>
    <row r="22" spans="1:15">
      <c r="A22" s="1260"/>
      <c r="B22" s="1261"/>
      <c r="C22" s="1261"/>
      <c r="D22" s="1262">
        <f t="shared" si="1"/>
        <v>0</v>
      </c>
      <c r="E22" s="493"/>
      <c r="F22" s="1263">
        <f t="shared" si="2"/>
        <v>0</v>
      </c>
      <c r="G22" s="1259">
        <f t="shared" si="0"/>
        <v>0</v>
      </c>
      <c r="H22" s="1241"/>
      <c r="I22" s="1241"/>
    </row>
    <row r="23" spans="1:15">
      <c r="A23" s="1260"/>
      <c r="B23" s="1261"/>
      <c r="C23" s="1261"/>
      <c r="D23" s="1262">
        <f t="shared" si="1"/>
        <v>0</v>
      </c>
      <c r="E23" s="493"/>
      <c r="F23" s="1263">
        <f t="shared" si="2"/>
        <v>0</v>
      </c>
      <c r="G23" s="1259">
        <f t="shared" si="0"/>
        <v>0</v>
      </c>
      <c r="H23" s="1241"/>
      <c r="I23" s="1241"/>
    </row>
    <row r="24" spans="1:15">
      <c r="A24" s="1260"/>
      <c r="B24" s="1261"/>
      <c r="C24" s="1261"/>
      <c r="D24" s="1262">
        <f t="shared" si="1"/>
        <v>0</v>
      </c>
      <c r="E24" s="493"/>
      <c r="F24" s="1263">
        <f t="shared" si="2"/>
        <v>0</v>
      </c>
      <c r="G24" s="1259">
        <f t="shared" si="0"/>
        <v>0</v>
      </c>
      <c r="H24" s="1241"/>
      <c r="I24" s="1241"/>
    </row>
    <row r="25" spans="1:15">
      <c r="A25" s="1260"/>
      <c r="B25" s="1261"/>
      <c r="C25" s="1261"/>
      <c r="D25" s="1262">
        <f t="shared" si="1"/>
        <v>0</v>
      </c>
      <c r="E25" s="493"/>
      <c r="F25" s="1263">
        <f t="shared" si="2"/>
        <v>0</v>
      </c>
      <c r="G25" s="1259">
        <f t="shared" si="0"/>
        <v>0</v>
      </c>
      <c r="H25" s="1241"/>
      <c r="I25" s="1241"/>
    </row>
    <row r="26" spans="1:15">
      <c r="A26" s="1260"/>
      <c r="B26" s="1261"/>
      <c r="C26" s="1261"/>
      <c r="D26" s="1262">
        <f t="shared" si="1"/>
        <v>0</v>
      </c>
      <c r="E26" s="493"/>
      <c r="F26" s="1263">
        <f t="shared" si="2"/>
        <v>0</v>
      </c>
      <c r="G26" s="1259">
        <f t="shared" si="0"/>
        <v>0</v>
      </c>
      <c r="H26" s="1241"/>
      <c r="I26" s="1241"/>
    </row>
    <row r="27" spans="1:15">
      <c r="A27" s="1260"/>
      <c r="B27" s="1261"/>
      <c r="C27" s="1261"/>
      <c r="D27" s="1262">
        <f t="shared" si="1"/>
        <v>0</v>
      </c>
      <c r="E27" s="493"/>
      <c r="F27" s="1263">
        <f t="shared" si="2"/>
        <v>0</v>
      </c>
      <c r="G27" s="1259">
        <f t="shared" si="0"/>
        <v>0</v>
      </c>
      <c r="H27" s="1241"/>
      <c r="I27" s="1241"/>
    </row>
    <row r="28" spans="1:15">
      <c r="A28" s="1260"/>
      <c r="B28" s="1261"/>
      <c r="C28" s="1261"/>
      <c r="D28" s="1262">
        <f t="shared" si="1"/>
        <v>0</v>
      </c>
      <c r="E28" s="493"/>
      <c r="F28" s="1263">
        <f t="shared" si="2"/>
        <v>0</v>
      </c>
      <c r="G28" s="1259">
        <f t="shared" si="0"/>
        <v>0</v>
      </c>
      <c r="H28" s="1241"/>
      <c r="I28" s="1241"/>
    </row>
    <row r="29" spans="1:15">
      <c r="A29" s="1260"/>
      <c r="B29" s="1261"/>
      <c r="C29" s="1261"/>
      <c r="D29" s="1262">
        <f t="shared" si="1"/>
        <v>0</v>
      </c>
      <c r="E29" s="493"/>
      <c r="F29" s="1263">
        <f t="shared" si="2"/>
        <v>0</v>
      </c>
      <c r="G29" s="1259">
        <f t="shared" si="0"/>
        <v>0</v>
      </c>
      <c r="H29" s="1241"/>
      <c r="I29" s="1241"/>
    </row>
    <row r="30" spans="1:15">
      <c r="A30" s="1260"/>
      <c r="B30" s="1261"/>
      <c r="C30" s="1261"/>
      <c r="D30" s="1262">
        <f t="shared" si="1"/>
        <v>0</v>
      </c>
      <c r="E30" s="493"/>
      <c r="F30" s="1263">
        <f t="shared" si="2"/>
        <v>0</v>
      </c>
      <c r="G30" s="1259">
        <f t="shared" si="0"/>
        <v>0</v>
      </c>
      <c r="H30" s="1241"/>
      <c r="I30" s="1241"/>
    </row>
    <row r="31" spans="1:15">
      <c r="A31" s="1260"/>
      <c r="B31" s="1261"/>
      <c r="C31" s="1261"/>
      <c r="D31" s="1262">
        <f t="shared" si="1"/>
        <v>0</v>
      </c>
      <c r="E31" s="493"/>
      <c r="F31" s="1263">
        <f t="shared" si="2"/>
        <v>0</v>
      </c>
      <c r="G31" s="1259">
        <f t="shared" si="0"/>
        <v>0</v>
      </c>
      <c r="H31" s="1241"/>
      <c r="I31" s="1241"/>
    </row>
    <row r="32" spans="1:15">
      <c r="A32" s="1260"/>
      <c r="B32" s="1261"/>
      <c r="C32" s="1261"/>
      <c r="D32" s="1262">
        <f t="shared" si="1"/>
        <v>0</v>
      </c>
      <c r="E32" s="493"/>
      <c r="F32" s="1263">
        <f t="shared" si="2"/>
        <v>0</v>
      </c>
      <c r="G32" s="1259">
        <f t="shared" si="0"/>
        <v>0</v>
      </c>
      <c r="H32" s="1241"/>
      <c r="I32" s="1241"/>
    </row>
    <row r="33" spans="1:9">
      <c r="A33" s="1260"/>
      <c r="B33" s="1261"/>
      <c r="C33" s="1261"/>
      <c r="D33" s="1262">
        <f t="shared" si="1"/>
        <v>0</v>
      </c>
      <c r="E33" s="493"/>
      <c r="F33" s="1263">
        <f t="shared" si="2"/>
        <v>0</v>
      </c>
      <c r="G33" s="1259">
        <f t="shared" si="0"/>
        <v>0</v>
      </c>
      <c r="H33" s="1241"/>
      <c r="I33" s="1241"/>
    </row>
    <row r="34" spans="1:9">
      <c r="A34" s="1260"/>
      <c r="B34" s="1261"/>
      <c r="C34" s="1261"/>
      <c r="D34" s="1262">
        <f t="shared" si="1"/>
        <v>0</v>
      </c>
      <c r="E34" s="493"/>
      <c r="F34" s="1263">
        <f t="shared" si="2"/>
        <v>0</v>
      </c>
      <c r="G34" s="1259">
        <f t="shared" si="0"/>
        <v>0</v>
      </c>
      <c r="H34" s="1241"/>
      <c r="I34" s="1241"/>
    </row>
    <row r="35" spans="1:9">
      <c r="A35" s="1260"/>
      <c r="B35" s="1261"/>
      <c r="C35" s="1261"/>
      <c r="D35" s="1262">
        <f t="shared" si="1"/>
        <v>0</v>
      </c>
      <c r="E35" s="493"/>
      <c r="F35" s="1263">
        <f t="shared" si="2"/>
        <v>0</v>
      </c>
      <c r="G35" s="1259">
        <f t="shared" si="0"/>
        <v>0</v>
      </c>
      <c r="H35" s="1241"/>
      <c r="I35" s="1241"/>
    </row>
    <row r="36" spans="1:9">
      <c r="A36" s="1260"/>
      <c r="B36" s="1261"/>
      <c r="C36" s="1261"/>
      <c r="D36" s="1262">
        <f t="shared" si="1"/>
        <v>0</v>
      </c>
      <c r="E36" s="493"/>
      <c r="F36" s="1263">
        <f t="shared" si="2"/>
        <v>0</v>
      </c>
      <c r="G36" s="1259">
        <f t="shared" si="0"/>
        <v>0</v>
      </c>
      <c r="H36" s="1241"/>
      <c r="I36" s="1241"/>
    </row>
    <row r="37" spans="1:9">
      <c r="A37" s="1260"/>
      <c r="B37" s="1261"/>
      <c r="C37" s="1261"/>
      <c r="D37" s="1262">
        <f t="shared" si="1"/>
        <v>0</v>
      </c>
      <c r="E37" s="493"/>
      <c r="F37" s="1263">
        <f t="shared" si="2"/>
        <v>0</v>
      </c>
      <c r="G37" s="1259">
        <f t="shared" si="0"/>
        <v>0</v>
      </c>
      <c r="H37" s="1241"/>
      <c r="I37" s="1241"/>
    </row>
    <row r="38" spans="1:9">
      <c r="A38" s="1260"/>
      <c r="B38" s="1261"/>
      <c r="C38" s="1261"/>
      <c r="D38" s="1262">
        <f t="shared" si="1"/>
        <v>0</v>
      </c>
      <c r="E38" s="493"/>
      <c r="F38" s="1263">
        <f t="shared" si="2"/>
        <v>0</v>
      </c>
      <c r="G38" s="1259">
        <f t="shared" si="0"/>
        <v>0</v>
      </c>
      <c r="H38" s="1241"/>
      <c r="I38" s="1241"/>
    </row>
    <row r="39" spans="1:9">
      <c r="A39" s="1260"/>
      <c r="B39" s="1261"/>
      <c r="C39" s="1261"/>
      <c r="D39" s="1262">
        <f t="shared" si="1"/>
        <v>0</v>
      </c>
      <c r="E39" s="493"/>
      <c r="F39" s="1263">
        <f t="shared" si="2"/>
        <v>0</v>
      </c>
      <c r="G39" s="1259">
        <f t="shared" si="0"/>
        <v>0</v>
      </c>
      <c r="H39" s="1241"/>
      <c r="I39" s="1241"/>
    </row>
    <row r="40" spans="1:9">
      <c r="A40" s="1260"/>
      <c r="B40" s="1261"/>
      <c r="C40" s="1261"/>
      <c r="D40" s="1262">
        <f t="shared" si="1"/>
        <v>0</v>
      </c>
      <c r="E40" s="493"/>
      <c r="F40" s="1263">
        <f t="shared" si="2"/>
        <v>0</v>
      </c>
      <c r="G40" s="1259">
        <f t="shared" si="0"/>
        <v>0</v>
      </c>
      <c r="H40" s="1241"/>
      <c r="I40" s="1241"/>
    </row>
    <row r="41" spans="1:9">
      <c r="A41" s="1260"/>
      <c r="B41" s="1261"/>
      <c r="C41" s="1261"/>
      <c r="D41" s="1262">
        <f t="shared" si="1"/>
        <v>0</v>
      </c>
      <c r="E41" s="493"/>
      <c r="F41" s="1263">
        <f t="shared" si="2"/>
        <v>0</v>
      </c>
      <c r="G41" s="1259">
        <f t="shared" si="0"/>
        <v>0</v>
      </c>
      <c r="H41" s="1241"/>
      <c r="I41" s="1241"/>
    </row>
    <row r="42" spans="1:9">
      <c r="A42" s="1260"/>
      <c r="B42" s="1261"/>
      <c r="C42" s="1261"/>
      <c r="D42" s="1262">
        <f t="shared" si="1"/>
        <v>0</v>
      </c>
      <c r="E42" s="493"/>
      <c r="F42" s="1263">
        <f t="shared" si="2"/>
        <v>0</v>
      </c>
      <c r="G42" s="1259">
        <f t="shared" si="0"/>
        <v>0</v>
      </c>
      <c r="I42" s="1241"/>
    </row>
    <row r="43" spans="1:9">
      <c r="A43" s="1260"/>
      <c r="B43" s="1261"/>
      <c r="C43" s="1261"/>
      <c r="D43" s="1262">
        <f t="shared" si="1"/>
        <v>0</v>
      </c>
      <c r="E43" s="493"/>
      <c r="F43" s="1263">
        <f t="shared" si="2"/>
        <v>0</v>
      </c>
      <c r="G43" s="1259">
        <f t="shared" si="0"/>
        <v>0</v>
      </c>
    </row>
    <row r="44" spans="1:9">
      <c r="A44" s="1260"/>
      <c r="B44" s="1261"/>
      <c r="C44" s="1261"/>
      <c r="D44" s="1262">
        <f t="shared" si="1"/>
        <v>0</v>
      </c>
      <c r="E44" s="493"/>
      <c r="F44" s="1263">
        <f t="shared" si="2"/>
        <v>0</v>
      </c>
      <c r="G44" s="1259">
        <f t="shared" si="0"/>
        <v>0</v>
      </c>
    </row>
    <row r="45" spans="1:9">
      <c r="A45" s="1260"/>
      <c r="B45" s="1261"/>
      <c r="C45" s="1261"/>
      <c r="D45" s="1262">
        <f t="shared" si="1"/>
        <v>0</v>
      </c>
      <c r="E45" s="493"/>
      <c r="F45" s="1263">
        <f t="shared" si="2"/>
        <v>0</v>
      </c>
      <c r="G45" s="1259">
        <f t="shared" si="0"/>
        <v>0</v>
      </c>
    </row>
    <row r="46" spans="1:9">
      <c r="A46" s="1260"/>
      <c r="B46" s="1261"/>
      <c r="C46" s="1261"/>
      <c r="D46" s="1262">
        <f t="shared" si="1"/>
        <v>0</v>
      </c>
      <c r="E46" s="493"/>
      <c r="F46" s="1263">
        <f t="shared" si="2"/>
        <v>0</v>
      </c>
      <c r="G46" s="1259">
        <f t="shared" si="0"/>
        <v>0</v>
      </c>
    </row>
    <row r="47" spans="1:9">
      <c r="A47" s="1260"/>
      <c r="B47" s="1261"/>
      <c r="C47" s="1261"/>
      <c r="D47" s="1262">
        <f t="shared" si="1"/>
        <v>0</v>
      </c>
      <c r="E47" s="493"/>
      <c r="F47" s="1263">
        <f t="shared" si="2"/>
        <v>0</v>
      </c>
      <c r="G47" s="1259">
        <f t="shared" si="0"/>
        <v>0</v>
      </c>
    </row>
    <row r="48" spans="1:9">
      <c r="A48" s="1260"/>
      <c r="B48" s="1261"/>
      <c r="C48" s="1261"/>
      <c r="D48" s="1262">
        <f t="shared" si="1"/>
        <v>0</v>
      </c>
      <c r="E48" s="493"/>
      <c r="F48" s="1263">
        <f t="shared" si="2"/>
        <v>0</v>
      </c>
      <c r="G48" s="1259">
        <f t="shared" si="0"/>
        <v>0</v>
      </c>
    </row>
    <row r="49" spans="1:7">
      <c r="A49" s="1260"/>
      <c r="B49" s="1261"/>
      <c r="C49" s="1261"/>
      <c r="D49" s="1262">
        <f t="shared" si="1"/>
        <v>0</v>
      </c>
      <c r="E49" s="493"/>
      <c r="F49" s="1263">
        <f t="shared" si="2"/>
        <v>0</v>
      </c>
      <c r="G49" s="1259">
        <f t="shared" si="0"/>
        <v>0</v>
      </c>
    </row>
    <row r="50" spans="1:7">
      <c r="A50" s="1260"/>
      <c r="B50" s="1261"/>
      <c r="C50" s="1261"/>
      <c r="D50" s="1262">
        <f t="shared" si="1"/>
        <v>0</v>
      </c>
      <c r="E50" s="493"/>
      <c r="F50" s="1263">
        <f t="shared" si="2"/>
        <v>0</v>
      </c>
      <c r="G50" s="1259">
        <f t="shared" si="0"/>
        <v>0</v>
      </c>
    </row>
    <row r="51" spans="1:7">
      <c r="A51" s="1260"/>
      <c r="B51" s="1261"/>
      <c r="C51" s="1261"/>
      <c r="D51" s="1262">
        <f t="shared" si="1"/>
        <v>0</v>
      </c>
      <c r="E51" s="493"/>
      <c r="F51" s="1263">
        <f t="shared" si="2"/>
        <v>0</v>
      </c>
      <c r="G51" s="1259">
        <f t="shared" si="0"/>
        <v>0</v>
      </c>
    </row>
    <row r="52" spans="1:7">
      <c r="A52" s="1260"/>
      <c r="B52" s="1261"/>
      <c r="C52" s="1261"/>
      <c r="D52" s="1262">
        <f t="shared" si="1"/>
        <v>0</v>
      </c>
      <c r="E52" s="493"/>
      <c r="F52" s="1263">
        <f t="shared" si="2"/>
        <v>0</v>
      </c>
      <c r="G52" s="1259">
        <f t="shared" si="0"/>
        <v>0</v>
      </c>
    </row>
    <row r="53" spans="1:7">
      <c r="A53" s="1260"/>
      <c r="B53" s="1261"/>
      <c r="C53" s="1261"/>
      <c r="D53" s="1262">
        <f t="shared" si="1"/>
        <v>0</v>
      </c>
      <c r="E53" s="493"/>
      <c r="F53" s="1263">
        <f t="shared" si="2"/>
        <v>0</v>
      </c>
      <c r="G53" s="1259">
        <f t="shared" si="0"/>
        <v>0</v>
      </c>
    </row>
    <row r="54" spans="1:7">
      <c r="A54" s="1260"/>
      <c r="B54" s="1261"/>
      <c r="C54" s="1261"/>
      <c r="D54" s="1262">
        <f t="shared" si="1"/>
        <v>0</v>
      </c>
      <c r="E54" s="493"/>
      <c r="F54" s="1263">
        <f t="shared" si="2"/>
        <v>0</v>
      </c>
      <c r="G54" s="1259">
        <f t="shared" si="0"/>
        <v>0</v>
      </c>
    </row>
    <row r="55" spans="1:7">
      <c r="A55" s="1260"/>
      <c r="B55" s="1261"/>
      <c r="C55" s="1261"/>
      <c r="D55" s="1262">
        <f t="shared" si="1"/>
        <v>0</v>
      </c>
      <c r="E55" s="493"/>
      <c r="F55" s="1263">
        <f t="shared" si="2"/>
        <v>0</v>
      </c>
      <c r="G55" s="1259">
        <f t="shared" si="0"/>
        <v>0</v>
      </c>
    </row>
    <row r="56" spans="1:7">
      <c r="A56" s="1260"/>
      <c r="B56" s="1261"/>
      <c r="C56" s="1261"/>
      <c r="D56" s="1262">
        <f t="shared" si="1"/>
        <v>0</v>
      </c>
      <c r="E56" s="493"/>
      <c r="F56" s="1263">
        <f t="shared" si="2"/>
        <v>0</v>
      </c>
      <c r="G56" s="1259">
        <f t="shared" si="0"/>
        <v>0</v>
      </c>
    </row>
    <row r="57" spans="1:7">
      <c r="A57" s="1260"/>
      <c r="B57" s="1261"/>
      <c r="C57" s="1261"/>
      <c r="D57" s="1262">
        <f t="shared" si="1"/>
        <v>0</v>
      </c>
      <c r="E57" s="493"/>
      <c r="F57" s="1263">
        <f t="shared" si="2"/>
        <v>0</v>
      </c>
      <c r="G57" s="1259">
        <f t="shared" si="0"/>
        <v>0</v>
      </c>
    </row>
    <row r="58" spans="1:7">
      <c r="A58" s="1260"/>
      <c r="B58" s="1261"/>
      <c r="C58" s="1261"/>
      <c r="D58" s="1262">
        <f t="shared" si="1"/>
        <v>0</v>
      </c>
      <c r="E58" s="493"/>
      <c r="F58" s="1263">
        <f t="shared" si="2"/>
        <v>0</v>
      </c>
      <c r="G58" s="1259">
        <f t="shared" si="0"/>
        <v>0</v>
      </c>
    </row>
    <row r="59" spans="1:7">
      <c r="A59" s="1260"/>
      <c r="B59" s="1261"/>
      <c r="C59" s="1261"/>
      <c r="D59" s="1262">
        <f t="shared" si="1"/>
        <v>0</v>
      </c>
      <c r="E59" s="493"/>
      <c r="F59" s="1263">
        <f t="shared" si="2"/>
        <v>0</v>
      </c>
      <c r="G59" s="1259">
        <f t="shared" si="0"/>
        <v>0</v>
      </c>
    </row>
    <row r="60" spans="1:7">
      <c r="A60" s="1260"/>
      <c r="B60" s="1261"/>
      <c r="C60" s="1261"/>
      <c r="D60" s="1262">
        <f t="shared" si="1"/>
        <v>0</v>
      </c>
      <c r="E60" s="493"/>
      <c r="F60" s="1263">
        <f t="shared" si="2"/>
        <v>0</v>
      </c>
      <c r="G60" s="1259">
        <f t="shared" si="0"/>
        <v>0</v>
      </c>
    </row>
    <row r="61" spans="1:7">
      <c r="A61" s="1260"/>
      <c r="B61" s="1261"/>
      <c r="C61" s="1261"/>
      <c r="D61" s="1262">
        <f t="shared" si="1"/>
        <v>0</v>
      </c>
      <c r="E61" s="493"/>
      <c r="F61" s="1263">
        <f t="shared" si="2"/>
        <v>0</v>
      </c>
      <c r="G61" s="1259">
        <f t="shared" si="0"/>
        <v>0</v>
      </c>
    </row>
    <row r="62" spans="1:7">
      <c r="A62" s="1260"/>
      <c r="B62" s="1261"/>
      <c r="C62" s="1261"/>
      <c r="D62" s="1262">
        <f t="shared" si="1"/>
        <v>0</v>
      </c>
      <c r="E62" s="493"/>
      <c r="F62" s="1263">
        <f t="shared" si="2"/>
        <v>0</v>
      </c>
      <c r="G62" s="1259">
        <f t="shared" si="0"/>
        <v>0</v>
      </c>
    </row>
    <row r="63" spans="1:7">
      <c r="A63" s="1260"/>
      <c r="B63" s="1261"/>
      <c r="C63" s="1261"/>
      <c r="D63" s="1262">
        <f t="shared" si="1"/>
        <v>0</v>
      </c>
      <c r="E63" s="493"/>
      <c r="F63" s="1263">
        <f t="shared" si="2"/>
        <v>0</v>
      </c>
      <c r="G63" s="1259">
        <f t="shared" si="0"/>
        <v>0</v>
      </c>
    </row>
    <row r="64" spans="1:7">
      <c r="A64" s="1260"/>
      <c r="B64" s="1261"/>
      <c r="C64" s="1261"/>
      <c r="D64" s="1262">
        <f t="shared" si="1"/>
        <v>0</v>
      </c>
      <c r="E64" s="493"/>
      <c r="F64" s="1263">
        <f t="shared" si="2"/>
        <v>0</v>
      </c>
      <c r="G64" s="1259">
        <f t="shared" si="0"/>
        <v>0</v>
      </c>
    </row>
    <row r="65" spans="1:7">
      <c r="A65" s="1260"/>
      <c r="B65" s="1261"/>
      <c r="C65" s="1261"/>
      <c r="D65" s="1262">
        <f t="shared" si="1"/>
        <v>0</v>
      </c>
      <c r="E65" s="493"/>
      <c r="F65" s="1263">
        <f t="shared" si="2"/>
        <v>0</v>
      </c>
      <c r="G65" s="1259">
        <f t="shared" si="0"/>
        <v>0</v>
      </c>
    </row>
    <row r="66" spans="1:7">
      <c r="A66" s="1260"/>
      <c r="B66" s="1261"/>
      <c r="C66" s="1261"/>
      <c r="D66" s="1262">
        <f t="shared" si="1"/>
        <v>0</v>
      </c>
      <c r="E66" s="493"/>
      <c r="F66" s="1263">
        <f t="shared" si="2"/>
        <v>0</v>
      </c>
      <c r="G66" s="1259">
        <f t="shared" si="0"/>
        <v>0</v>
      </c>
    </row>
    <row r="67" spans="1:7">
      <c r="A67" s="1260"/>
      <c r="B67" s="1261"/>
      <c r="C67" s="1261"/>
      <c r="D67" s="1262">
        <f t="shared" si="1"/>
        <v>0</v>
      </c>
      <c r="E67" s="493"/>
      <c r="F67" s="1263">
        <f t="shared" si="2"/>
        <v>0</v>
      </c>
      <c r="G67" s="1259">
        <f t="shared" si="0"/>
        <v>0</v>
      </c>
    </row>
    <row r="68" spans="1:7">
      <c r="A68" s="1260"/>
      <c r="B68" s="1261"/>
      <c r="C68" s="1261"/>
      <c r="D68" s="1262">
        <f t="shared" si="1"/>
        <v>0</v>
      </c>
      <c r="E68" s="493"/>
      <c r="F68" s="1263">
        <f t="shared" si="2"/>
        <v>0</v>
      </c>
      <c r="G68" s="1259">
        <f t="shared" si="0"/>
        <v>0</v>
      </c>
    </row>
    <row r="69" spans="1:7">
      <c r="A69" s="1260"/>
      <c r="B69" s="1261"/>
      <c r="C69" s="1261"/>
      <c r="D69" s="1262">
        <f t="shared" si="1"/>
        <v>0</v>
      </c>
      <c r="E69" s="493"/>
      <c r="F69" s="1263">
        <f t="shared" si="2"/>
        <v>0</v>
      </c>
      <c r="G69" s="1259">
        <f t="shared" si="0"/>
        <v>0</v>
      </c>
    </row>
    <row r="70" spans="1:7">
      <c r="A70" s="1260"/>
      <c r="B70" s="1261"/>
      <c r="C70" s="1261"/>
      <c r="D70" s="1262">
        <f t="shared" si="1"/>
        <v>0</v>
      </c>
      <c r="E70" s="493"/>
      <c r="F70" s="1263">
        <f t="shared" si="2"/>
        <v>0</v>
      </c>
      <c r="G70" s="1259">
        <f t="shared" si="0"/>
        <v>0</v>
      </c>
    </row>
    <row r="71" spans="1:7">
      <c r="A71" s="1260"/>
      <c r="B71" s="1261"/>
      <c r="C71" s="1261"/>
      <c r="D71" s="1262">
        <f t="shared" si="1"/>
        <v>0</v>
      </c>
      <c r="E71" s="493"/>
      <c r="F71" s="1263">
        <f t="shared" si="2"/>
        <v>0</v>
      </c>
      <c r="G71" s="1259">
        <f t="shared" si="0"/>
        <v>0</v>
      </c>
    </row>
    <row r="72" spans="1:7">
      <c r="A72" s="1260"/>
      <c r="B72" s="1261"/>
      <c r="C72" s="1261"/>
      <c r="D72" s="1262">
        <f t="shared" si="1"/>
        <v>0</v>
      </c>
      <c r="E72" s="493"/>
      <c r="F72" s="1263">
        <f t="shared" si="2"/>
        <v>0</v>
      </c>
      <c r="G72" s="1259">
        <f t="shared" si="0"/>
        <v>0</v>
      </c>
    </row>
    <row r="73" spans="1:7">
      <c r="A73" s="1260"/>
      <c r="B73" s="1261"/>
      <c r="C73" s="1261"/>
      <c r="D73" s="1262">
        <f t="shared" si="1"/>
        <v>0</v>
      </c>
      <c r="E73" s="493"/>
      <c r="F73" s="1263">
        <f t="shared" si="2"/>
        <v>0</v>
      </c>
      <c r="G73" s="1259">
        <f t="shared" si="0"/>
        <v>0</v>
      </c>
    </row>
    <row r="74" spans="1:7">
      <c r="A74" s="1260"/>
      <c r="B74" s="1261"/>
      <c r="C74" s="1261"/>
      <c r="D74" s="1262">
        <f t="shared" si="1"/>
        <v>0</v>
      </c>
      <c r="E74" s="493"/>
      <c r="F74" s="1263">
        <f t="shared" si="2"/>
        <v>0</v>
      </c>
      <c r="G74" s="1259">
        <f t="shared" si="0"/>
        <v>0</v>
      </c>
    </row>
    <row r="75" spans="1:7">
      <c r="A75" s="1260"/>
      <c r="B75" s="1261"/>
      <c r="C75" s="1261"/>
      <c r="D75" s="1262">
        <f t="shared" si="1"/>
        <v>0</v>
      </c>
      <c r="E75" s="493"/>
      <c r="F75" s="1263">
        <f t="shared" si="2"/>
        <v>0</v>
      </c>
      <c r="G75" s="1259">
        <f t="shared" si="0"/>
        <v>0</v>
      </c>
    </row>
    <row r="76" spans="1:7">
      <c r="A76" s="1260"/>
      <c r="B76" s="1261"/>
      <c r="C76" s="1261"/>
      <c r="D76" s="1262">
        <f t="shared" si="1"/>
        <v>0</v>
      </c>
      <c r="E76" s="493"/>
      <c r="F76" s="1263">
        <f t="shared" si="2"/>
        <v>0</v>
      </c>
      <c r="G76" s="1259">
        <f t="shared" si="0"/>
        <v>0</v>
      </c>
    </row>
    <row r="77" spans="1:7">
      <c r="A77" s="1260"/>
      <c r="B77" s="1261"/>
      <c r="C77" s="1261"/>
      <c r="D77" s="1262">
        <f t="shared" si="1"/>
        <v>0</v>
      </c>
      <c r="E77" s="493"/>
      <c r="F77" s="1263">
        <f t="shared" si="2"/>
        <v>0</v>
      </c>
      <c r="G77" s="1259">
        <f t="shared" si="0"/>
        <v>0</v>
      </c>
    </row>
    <row r="78" spans="1:7">
      <c r="A78" s="1260"/>
      <c r="B78" s="1261"/>
      <c r="C78" s="1261"/>
      <c r="D78" s="1262">
        <f t="shared" si="1"/>
        <v>0</v>
      </c>
      <c r="E78" s="493"/>
      <c r="F78" s="1263">
        <f t="shared" si="2"/>
        <v>0</v>
      </c>
      <c r="G78" s="1259">
        <f t="shared" si="0"/>
        <v>0</v>
      </c>
    </row>
    <row r="79" spans="1:7">
      <c r="A79" s="1260"/>
      <c r="B79" s="1261"/>
      <c r="C79" s="1261"/>
      <c r="D79" s="1262">
        <f t="shared" si="1"/>
        <v>0</v>
      </c>
      <c r="E79" s="493"/>
      <c r="F79" s="1263">
        <f t="shared" si="2"/>
        <v>0</v>
      </c>
      <c r="G79" s="1259">
        <f t="shared" si="0"/>
        <v>0</v>
      </c>
    </row>
    <row r="80" spans="1:7">
      <c r="A80" s="1260"/>
      <c r="B80" s="1261"/>
      <c r="C80" s="1261"/>
      <c r="D80" s="1262">
        <f t="shared" si="1"/>
        <v>0</v>
      </c>
      <c r="E80" s="493"/>
      <c r="F80" s="1263">
        <f t="shared" si="2"/>
        <v>0</v>
      </c>
      <c r="G80" s="1259">
        <f t="shared" si="0"/>
        <v>0</v>
      </c>
    </row>
    <row r="81" spans="1:7">
      <c r="A81" s="1260"/>
      <c r="B81" s="1261"/>
      <c r="C81" s="1261"/>
      <c r="D81" s="1262">
        <f t="shared" si="1"/>
        <v>0</v>
      </c>
      <c r="E81" s="493"/>
      <c r="F81" s="1263">
        <f t="shared" si="2"/>
        <v>0</v>
      </c>
      <c r="G81" s="1259">
        <f t="shared" si="0"/>
        <v>0</v>
      </c>
    </row>
    <row r="82" spans="1:7">
      <c r="A82" s="1260"/>
      <c r="B82" s="1261"/>
      <c r="C82" s="1261"/>
      <c r="D82" s="1262">
        <f t="shared" si="1"/>
        <v>0</v>
      </c>
      <c r="E82" s="493"/>
      <c r="F82" s="1263">
        <f t="shared" si="2"/>
        <v>0</v>
      </c>
      <c r="G82" s="1259">
        <f t="shared" si="0"/>
        <v>0</v>
      </c>
    </row>
    <row r="83" spans="1:7">
      <c r="A83" s="1260"/>
      <c r="B83" s="1261"/>
      <c r="C83" s="1261"/>
      <c r="D83" s="1262">
        <f t="shared" si="1"/>
        <v>0</v>
      </c>
      <c r="E83" s="493"/>
      <c r="F83" s="1263">
        <f t="shared" si="2"/>
        <v>0</v>
      </c>
      <c r="G83" s="1259">
        <f t="shared" si="0"/>
        <v>0</v>
      </c>
    </row>
    <row r="84" spans="1:7">
      <c r="A84" s="1260"/>
      <c r="B84" s="1261"/>
      <c r="C84" s="1261"/>
      <c r="D84" s="1262">
        <f t="shared" si="1"/>
        <v>0</v>
      </c>
      <c r="E84" s="493"/>
      <c r="F84" s="1263">
        <f t="shared" si="2"/>
        <v>0</v>
      </c>
      <c r="G84" s="1259">
        <f t="shared" si="0"/>
        <v>0</v>
      </c>
    </row>
    <row r="85" spans="1:7">
      <c r="A85" s="1260"/>
      <c r="B85" s="1261"/>
      <c r="C85" s="1261"/>
      <c r="D85" s="1262">
        <f t="shared" si="1"/>
        <v>0</v>
      </c>
      <c r="E85" s="493"/>
      <c r="F85" s="1263">
        <f t="shared" si="2"/>
        <v>0</v>
      </c>
      <c r="G85" s="1259">
        <f t="shared" si="0"/>
        <v>0</v>
      </c>
    </row>
    <row r="86" spans="1:7">
      <c r="A86" s="1260"/>
      <c r="B86" s="1261"/>
      <c r="C86" s="1261"/>
      <c r="D86" s="1262">
        <f t="shared" si="1"/>
        <v>0</v>
      </c>
      <c r="E86" s="493"/>
      <c r="F86" s="1263">
        <f t="shared" si="2"/>
        <v>0</v>
      </c>
      <c r="G86" s="1259">
        <f t="shared" si="0"/>
        <v>0</v>
      </c>
    </row>
    <row r="87" spans="1:7">
      <c r="A87" s="1260"/>
      <c r="B87" s="1261"/>
      <c r="C87" s="1261"/>
      <c r="D87" s="1262">
        <f t="shared" si="1"/>
        <v>0</v>
      </c>
      <c r="E87" s="493"/>
      <c r="F87" s="1263">
        <f t="shared" si="2"/>
        <v>0</v>
      </c>
      <c r="G87" s="1259">
        <f t="shared" si="0"/>
        <v>0</v>
      </c>
    </row>
    <row r="88" spans="1:7">
      <c r="A88" s="1260"/>
      <c r="B88" s="1261"/>
      <c r="C88" s="1261"/>
      <c r="D88" s="1262">
        <f t="shared" si="1"/>
        <v>0</v>
      </c>
      <c r="E88" s="493"/>
      <c r="F88" s="1263">
        <f t="shared" si="2"/>
        <v>0</v>
      </c>
      <c r="G88" s="1259">
        <f t="shared" si="0"/>
        <v>0</v>
      </c>
    </row>
    <row r="89" spans="1:7">
      <c r="A89" s="1260"/>
      <c r="B89" s="1261"/>
      <c r="C89" s="1261"/>
      <c r="D89" s="1262">
        <f t="shared" si="1"/>
        <v>0</v>
      </c>
      <c r="E89" s="493"/>
      <c r="F89" s="1263">
        <f t="shared" si="2"/>
        <v>0</v>
      </c>
      <c r="G89" s="1259">
        <f t="shared" si="0"/>
        <v>0</v>
      </c>
    </row>
    <row r="90" spans="1:7">
      <c r="A90" s="1260"/>
      <c r="B90" s="1261"/>
      <c r="C90" s="1261"/>
      <c r="D90" s="1262">
        <f t="shared" si="1"/>
        <v>0</v>
      </c>
      <c r="E90" s="493"/>
      <c r="F90" s="1263">
        <f t="shared" si="2"/>
        <v>0</v>
      </c>
      <c r="G90" s="1259">
        <f t="shared" si="0"/>
        <v>0</v>
      </c>
    </row>
    <row r="91" spans="1:7">
      <c r="A91" s="1260"/>
      <c r="B91" s="1261"/>
      <c r="C91" s="1261"/>
      <c r="D91" s="1262">
        <f t="shared" si="1"/>
        <v>0</v>
      </c>
      <c r="E91" s="493"/>
      <c r="F91" s="1263">
        <f t="shared" si="2"/>
        <v>0</v>
      </c>
      <c r="G91" s="1259">
        <f t="shared" si="0"/>
        <v>0</v>
      </c>
    </row>
    <row r="92" spans="1:7">
      <c r="A92" s="1260"/>
      <c r="B92" s="1261"/>
      <c r="C92" s="1261"/>
      <c r="D92" s="1262">
        <f t="shared" si="1"/>
        <v>0</v>
      </c>
      <c r="E92" s="493"/>
      <c r="F92" s="1263">
        <f t="shared" si="2"/>
        <v>0</v>
      </c>
      <c r="G92" s="1259">
        <f t="shared" si="0"/>
        <v>0</v>
      </c>
    </row>
    <row r="93" spans="1:7">
      <c r="A93" s="1260"/>
      <c r="B93" s="1261"/>
      <c r="C93" s="1261"/>
      <c r="D93" s="1262">
        <f t="shared" si="1"/>
        <v>0</v>
      </c>
      <c r="E93" s="493"/>
      <c r="F93" s="1263">
        <f t="shared" si="2"/>
        <v>0</v>
      </c>
      <c r="G93" s="1259">
        <f t="shared" si="0"/>
        <v>0</v>
      </c>
    </row>
    <row r="94" spans="1:7">
      <c r="A94" s="1260"/>
      <c r="B94" s="1261"/>
      <c r="C94" s="1261"/>
      <c r="D94" s="1262">
        <f t="shared" si="1"/>
        <v>0</v>
      </c>
      <c r="E94" s="493"/>
      <c r="F94" s="1263">
        <f t="shared" si="2"/>
        <v>0</v>
      </c>
      <c r="G94" s="1259">
        <f t="shared" si="0"/>
        <v>0</v>
      </c>
    </row>
    <row r="95" spans="1:7">
      <c r="A95" s="1260"/>
      <c r="B95" s="1261"/>
      <c r="C95" s="1261"/>
      <c r="D95" s="1262">
        <f t="shared" si="1"/>
        <v>0</v>
      </c>
      <c r="E95" s="493"/>
      <c r="F95" s="1263">
        <f t="shared" si="2"/>
        <v>0</v>
      </c>
      <c r="G95" s="1259">
        <f t="shared" si="0"/>
        <v>0</v>
      </c>
    </row>
    <row r="96" spans="1:7">
      <c r="A96" s="1260"/>
      <c r="B96" s="1261"/>
      <c r="C96" s="1261"/>
      <c r="D96" s="1262">
        <f t="shared" si="1"/>
        <v>0</v>
      </c>
      <c r="E96" s="493"/>
      <c r="F96" s="1263">
        <f t="shared" si="2"/>
        <v>0</v>
      </c>
      <c r="G96" s="1259">
        <f t="shared" si="0"/>
        <v>0</v>
      </c>
    </row>
    <row r="97" spans="1:7">
      <c r="A97" s="1260"/>
      <c r="B97" s="1261"/>
      <c r="C97" s="1261"/>
      <c r="D97" s="1262">
        <f t="shared" si="1"/>
        <v>0</v>
      </c>
      <c r="E97" s="493"/>
      <c r="F97" s="1263">
        <f t="shared" si="2"/>
        <v>0</v>
      </c>
      <c r="G97" s="1259">
        <f t="shared" si="0"/>
        <v>0</v>
      </c>
    </row>
    <row r="98" spans="1:7">
      <c r="A98" s="1260"/>
      <c r="B98" s="1261"/>
      <c r="C98" s="1261"/>
      <c r="D98" s="1262">
        <f t="shared" si="1"/>
        <v>0</v>
      </c>
      <c r="E98" s="493"/>
      <c r="F98" s="1263">
        <f t="shared" si="2"/>
        <v>0</v>
      </c>
      <c r="G98" s="1259">
        <f t="shared" si="0"/>
        <v>0</v>
      </c>
    </row>
    <row r="99" spans="1:7">
      <c r="A99" s="1260"/>
      <c r="B99" s="1261"/>
      <c r="C99" s="1261"/>
      <c r="D99" s="1262">
        <f t="shared" si="1"/>
        <v>0</v>
      </c>
      <c r="E99" s="493"/>
      <c r="F99" s="1263">
        <f t="shared" si="2"/>
        <v>0</v>
      </c>
      <c r="G99" s="1259">
        <f t="shared" si="0"/>
        <v>0</v>
      </c>
    </row>
    <row r="100" spans="1:7">
      <c r="A100" s="1260"/>
      <c r="B100" s="1261"/>
      <c r="C100" s="1261"/>
      <c r="D100" s="1262">
        <f t="shared" si="1"/>
        <v>0</v>
      </c>
      <c r="E100" s="493"/>
      <c r="F100" s="1263">
        <f t="shared" si="2"/>
        <v>0</v>
      </c>
      <c r="G100" s="1259">
        <f t="shared" si="0"/>
        <v>0</v>
      </c>
    </row>
    <row r="101" spans="1:7">
      <c r="A101" s="1260"/>
      <c r="B101" s="1261"/>
      <c r="C101" s="1261"/>
      <c r="D101" s="1262">
        <f t="shared" si="1"/>
        <v>0</v>
      </c>
      <c r="E101" s="493"/>
      <c r="F101" s="1263">
        <f>IF(A101&gt;0,A101-A80,0)</f>
        <v>0</v>
      </c>
      <c r="G101" s="1259">
        <f t="shared" si="0"/>
        <v>0</v>
      </c>
    </row>
    <row r="102" spans="1:7">
      <c r="A102" s="1260"/>
      <c r="B102" s="1261"/>
      <c r="C102" s="1261"/>
      <c r="D102" s="1262">
        <f t="shared" si="1"/>
        <v>0</v>
      </c>
      <c r="E102" s="493"/>
      <c r="F102" s="1263">
        <f>IF(A102&gt;0,A102-A101,0)</f>
        <v>0</v>
      </c>
      <c r="G102" s="1259">
        <f t="shared" si="0"/>
        <v>0</v>
      </c>
    </row>
    <row r="103" spans="1:7">
      <c r="A103" s="1260"/>
      <c r="B103" s="1261"/>
      <c r="C103" s="1261"/>
      <c r="D103" s="1262">
        <f t="shared" si="1"/>
        <v>0</v>
      </c>
      <c r="E103" s="493"/>
      <c r="F103" s="1263">
        <f>IF(A103&gt;0,A103-A102,0)</f>
        <v>0</v>
      </c>
      <c r="G103" s="1259">
        <f t="shared" si="0"/>
        <v>0</v>
      </c>
    </row>
    <row r="104" spans="1:7">
      <c r="A104" s="1265"/>
      <c r="B104" s="1266"/>
      <c r="C104" s="1266"/>
      <c r="D104" s="1267"/>
      <c r="E104" s="493"/>
      <c r="F104" s="1263">
        <f>IF(A104&gt;0,A104-A103,0)</f>
        <v>0</v>
      </c>
      <c r="G104" s="1268"/>
    </row>
    <row r="105" spans="1:7">
      <c r="A105" s="1256">
        <f>IF(AND(D2&gt;39141,D2&lt;39508),$D$2+365,$D$2+364)</f>
        <v>364</v>
      </c>
      <c r="B105" s="1257">
        <f>SUM(B10:B103)</f>
        <v>0</v>
      </c>
      <c r="C105" s="1257">
        <f>SUM(C10:C103)</f>
        <v>0</v>
      </c>
      <c r="D105" s="1262">
        <f>$D$9+SUM(B$10:B103)-SUM(C$10:C103)</f>
        <v>0</v>
      </c>
      <c r="E105" s="493"/>
      <c r="F105" s="1263">
        <f>(A105-A9)-SUM(F10:F104)</f>
        <v>364</v>
      </c>
      <c r="G105" s="1259">
        <f>D105*F105</f>
        <v>0</v>
      </c>
    </row>
    <row r="106" spans="1:7">
      <c r="A106" s="493"/>
      <c r="B106" s="493"/>
      <c r="C106" s="493"/>
      <c r="D106" s="493"/>
      <c r="E106" s="493"/>
      <c r="F106" s="1269">
        <f>SUM(F9:F105)</f>
        <v>364</v>
      </c>
      <c r="G106" s="1270">
        <f>SUM(G9:G105)</f>
        <v>0</v>
      </c>
    </row>
  </sheetData>
  <sheetProtection password="CC3A" sheet="1" objects="1" scenarios="1" formatCells="0" formatRows="0"/>
  <mergeCells count="8">
    <mergeCell ref="I18:N19"/>
    <mergeCell ref="A7:C7"/>
    <mergeCell ref="B9:C9"/>
    <mergeCell ref="I1:J1"/>
    <mergeCell ref="A3:C3"/>
    <mergeCell ref="A4:D4"/>
    <mergeCell ref="A5:C5"/>
    <mergeCell ref="A1:D1"/>
  </mergeCells>
  <dataValidations count="1">
    <dataValidation type="list" operator="equal" allowBlank="1" showErrorMessage="1" sqref="A5:C5">
      <formula1>$F$1:$F$5</formula1>
      <formula2>0</formula2>
    </dataValidation>
  </dataValidations>
  <hyperlinks>
    <hyperlink ref="H1" location="Pfl_Schutz!A1" display="◄"/>
    <hyperlink ref="I1" location="Tiere!A1" display="zur Tierliste"/>
    <hyperlink ref="K1" location="Tierzahlen!A1" display="  ►"/>
    <hyperlink ref="I20" r:id="rId1"/>
  </hyperlinks>
  <printOptions horizontalCentered="1" verticalCentered="1"/>
  <pageMargins left="0.70866141732283472" right="0.70866141732283472" top="0.55000000000000004" bottom="0.4" header="0.51181102362204722" footer="0.27"/>
  <pageSetup paperSize="9" firstPageNumber="0"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showZeros="0" zoomScale="80" zoomScaleNormal="80" zoomScalePageLayoutView="80" workbookViewId="0">
      <selection activeCell="F1" sqref="F1"/>
    </sheetView>
  </sheetViews>
  <sheetFormatPr baseColWidth="10" defaultColWidth="12" defaultRowHeight="12.75"/>
  <cols>
    <col min="1" max="1" width="45.42578125" customWidth="1"/>
    <col min="2" max="5" width="10.85546875" customWidth="1"/>
    <col min="6" max="6" width="20.28515625" customWidth="1"/>
    <col min="7" max="7" width="19.85546875" customWidth="1"/>
    <col min="8" max="11" width="8.85546875" customWidth="1"/>
    <col min="12" max="12" width="4.42578125" customWidth="1"/>
    <col min="13" max="16" width="9.42578125" customWidth="1"/>
    <col min="17" max="17" width="44.42578125" customWidth="1"/>
  </cols>
  <sheetData>
    <row r="1" spans="1:17" ht="39.75" customHeight="1" thickBot="1">
      <c r="A1" s="3332" t="s">
        <v>1569</v>
      </c>
      <c r="B1" s="3332"/>
      <c r="C1" s="3332"/>
      <c r="D1" s="3332"/>
      <c r="E1" s="3333"/>
      <c r="F1" s="1508" t="s">
        <v>413</v>
      </c>
      <c r="G1" s="1508" t="s">
        <v>381</v>
      </c>
      <c r="H1" s="3334" t="s">
        <v>1570</v>
      </c>
      <c r="I1" s="3332"/>
      <c r="J1" s="3332"/>
      <c r="K1" s="3332"/>
      <c r="M1" s="3335" t="s">
        <v>1571</v>
      </c>
      <c r="N1" s="3335"/>
      <c r="O1" s="3335"/>
      <c r="P1" s="3335"/>
      <c r="Q1" s="3335"/>
    </row>
    <row r="2" spans="1:17" ht="30.75" customHeight="1" thickBot="1">
      <c r="A2" s="1271" t="s">
        <v>1572</v>
      </c>
      <c r="B2" s="1272" t="s">
        <v>24</v>
      </c>
      <c r="C2" s="1272" t="s">
        <v>1573</v>
      </c>
      <c r="D2" s="1272" t="s">
        <v>165</v>
      </c>
      <c r="E2" s="1273" t="s">
        <v>1574</v>
      </c>
      <c r="F2" s="3336" t="s">
        <v>440</v>
      </c>
      <c r="G2" s="3336"/>
      <c r="H2" s="1272" t="s">
        <v>24</v>
      </c>
      <c r="I2" s="1272" t="s">
        <v>1575</v>
      </c>
      <c r="J2" s="1272" t="s">
        <v>165</v>
      </c>
      <c r="K2" s="1272" t="s">
        <v>1576</v>
      </c>
      <c r="M2" s="1272" t="s">
        <v>1577</v>
      </c>
      <c r="N2" s="1272" t="s">
        <v>1578</v>
      </c>
      <c r="O2" s="1272" t="s">
        <v>1579</v>
      </c>
      <c r="P2" s="1272" t="s">
        <v>1580</v>
      </c>
      <c r="Q2" s="1274" t="s">
        <v>1572</v>
      </c>
    </row>
    <row r="3" spans="1:17" ht="18">
      <c r="A3" s="1275" t="s">
        <v>3</v>
      </c>
      <c r="B3" s="1276"/>
      <c r="C3" s="1276"/>
      <c r="D3" s="1276"/>
      <c r="E3" s="1277"/>
      <c r="F3" s="1278"/>
      <c r="G3" s="1278"/>
      <c r="H3" s="1279"/>
      <c r="I3" s="1279"/>
      <c r="J3" s="1279"/>
      <c r="K3" s="1280"/>
      <c r="M3" s="1281"/>
      <c r="N3" s="1282"/>
      <c r="O3" s="1283"/>
      <c r="P3" s="1284"/>
      <c r="Q3" s="1285" t="s">
        <v>3</v>
      </c>
    </row>
    <row r="4" spans="1:17" ht="18" customHeight="1">
      <c r="A4" s="1286" t="s">
        <v>1581</v>
      </c>
      <c r="B4" s="1287"/>
      <c r="C4" s="1287"/>
      <c r="D4" s="1287"/>
      <c r="E4" s="1288"/>
      <c r="F4" s="3337" t="s">
        <v>1720</v>
      </c>
      <c r="G4" s="3337"/>
      <c r="H4" s="1289"/>
      <c r="I4" s="1289"/>
      <c r="J4" s="1289"/>
      <c r="K4" s="1290"/>
      <c r="M4" s="1291"/>
      <c r="N4" s="1292"/>
      <c r="O4" s="1293"/>
      <c r="P4" s="1294"/>
      <c r="Q4" s="1286" t="s">
        <v>1581</v>
      </c>
    </row>
    <row r="5" spans="1:17" ht="15.75">
      <c r="A5" s="1295" t="s">
        <v>1582</v>
      </c>
      <c r="B5" s="1296">
        <v>12.7</v>
      </c>
      <c r="C5" s="1296">
        <v>5.2</v>
      </c>
      <c r="D5" s="1296">
        <v>5.2</v>
      </c>
      <c r="E5" s="1297">
        <v>10.4</v>
      </c>
      <c r="F5" s="3337"/>
      <c r="G5" s="3337"/>
      <c r="H5" s="1298">
        <v>11.048999999999999</v>
      </c>
      <c r="I5" s="1298">
        <v>4.7320000000000002</v>
      </c>
      <c r="J5" s="1298">
        <v>4.524</v>
      </c>
      <c r="K5" s="1299">
        <v>9.4640000000000004</v>
      </c>
      <c r="M5" s="1300">
        <v>1.3</v>
      </c>
      <c r="N5" s="1301">
        <v>0.65</v>
      </c>
      <c r="O5" s="1302">
        <v>0.75</v>
      </c>
      <c r="P5" s="1303">
        <v>1.7000000000000002</v>
      </c>
      <c r="Q5" s="1304" t="s">
        <v>1583</v>
      </c>
    </row>
    <row r="6" spans="1:17" ht="15.75">
      <c r="A6" s="1295" t="s">
        <v>1584</v>
      </c>
      <c r="B6" s="1296">
        <v>34.4</v>
      </c>
      <c r="C6" s="1296">
        <v>14.2</v>
      </c>
      <c r="D6" s="1296">
        <v>14.2</v>
      </c>
      <c r="E6" s="1297">
        <v>28.4</v>
      </c>
      <c r="F6" s="1305" t="s">
        <v>1585</v>
      </c>
      <c r="G6" s="1305"/>
      <c r="H6" s="1298">
        <v>29.928000000000001</v>
      </c>
      <c r="I6" s="1298">
        <v>12.922000000000001</v>
      </c>
      <c r="J6" s="1298">
        <v>12.353999999999999</v>
      </c>
      <c r="K6" s="1299">
        <v>25.844000000000001</v>
      </c>
      <c r="M6" s="1300">
        <v>3.4</v>
      </c>
      <c r="N6" s="1301">
        <v>1.7000000000000002</v>
      </c>
      <c r="O6" s="1302">
        <v>1.78</v>
      </c>
      <c r="P6" s="1303">
        <v>3.9</v>
      </c>
      <c r="Q6" s="1306" t="s">
        <v>1584</v>
      </c>
    </row>
    <row r="7" spans="1:17" ht="12.75" customHeight="1">
      <c r="A7" s="1295" t="s">
        <v>1586</v>
      </c>
      <c r="B7" s="1296">
        <v>45.6</v>
      </c>
      <c r="C7" s="1296">
        <v>18.8</v>
      </c>
      <c r="D7" s="1296">
        <v>18.7</v>
      </c>
      <c r="E7" s="1297">
        <v>37.5</v>
      </c>
      <c r="F7" s="3338" t="s">
        <v>1721</v>
      </c>
      <c r="G7" s="3338"/>
      <c r="H7" s="1298">
        <v>39.671999999999997</v>
      </c>
      <c r="I7" s="1298">
        <v>17.108000000000001</v>
      </c>
      <c r="J7" s="1298">
        <v>16.268999999999998</v>
      </c>
      <c r="K7" s="1299">
        <v>34.125</v>
      </c>
      <c r="M7" s="1300">
        <v>5.8</v>
      </c>
      <c r="N7" s="1301">
        <v>2.9</v>
      </c>
      <c r="O7" s="1302">
        <v>2.95</v>
      </c>
      <c r="P7" s="1303">
        <v>6.2</v>
      </c>
      <c r="Q7" s="1306" t="s">
        <v>1586</v>
      </c>
    </row>
    <row r="8" spans="1:17" ht="18">
      <c r="A8" s="1286" t="s">
        <v>1587</v>
      </c>
      <c r="B8" s="1307"/>
      <c r="C8" s="1308"/>
      <c r="D8" s="1308"/>
      <c r="E8" s="1309"/>
      <c r="F8" s="3338"/>
      <c r="G8" s="3338"/>
      <c r="H8" s="1310"/>
      <c r="I8" s="1310"/>
      <c r="J8" s="1310"/>
      <c r="K8" s="1311"/>
      <c r="M8" s="1312"/>
      <c r="N8" s="1313"/>
      <c r="O8" s="1314"/>
      <c r="P8" s="1315"/>
      <c r="Q8" s="1316" t="s">
        <v>1587</v>
      </c>
    </row>
    <row r="9" spans="1:17" ht="15.75">
      <c r="A9" s="1295" t="s">
        <v>1588</v>
      </c>
      <c r="B9" s="1296">
        <v>54.7</v>
      </c>
      <c r="C9" s="1296">
        <v>22.6</v>
      </c>
      <c r="D9" s="1296">
        <v>22.5</v>
      </c>
      <c r="E9" s="1297">
        <v>45.1</v>
      </c>
      <c r="F9" s="1278"/>
      <c r="G9" s="1278"/>
      <c r="H9" s="1298">
        <v>47.588999999999999</v>
      </c>
      <c r="I9" s="1298">
        <v>20.565999999999999</v>
      </c>
      <c r="J9" s="1298">
        <v>19.574999999999999</v>
      </c>
      <c r="K9" s="1299">
        <v>41.040999999999997</v>
      </c>
      <c r="M9" s="1300">
        <v>7.1</v>
      </c>
      <c r="N9" s="1301">
        <v>3.5</v>
      </c>
      <c r="O9" s="1302">
        <v>3.54</v>
      </c>
      <c r="P9" s="1303">
        <v>7.7</v>
      </c>
      <c r="Q9" s="1306" t="s">
        <v>1588</v>
      </c>
    </row>
    <row r="10" spans="1:17" ht="15.75">
      <c r="A10" s="1295" t="s">
        <v>1589</v>
      </c>
      <c r="B10" s="1296">
        <v>58.9</v>
      </c>
      <c r="C10" s="1296">
        <v>24.3</v>
      </c>
      <c r="D10" s="1296">
        <v>24.2</v>
      </c>
      <c r="E10" s="1297">
        <v>48.5</v>
      </c>
      <c r="F10" s="1278"/>
      <c r="G10" s="1278"/>
      <c r="H10" s="1298">
        <v>51.243000000000002</v>
      </c>
      <c r="I10" s="1298">
        <v>22.113</v>
      </c>
      <c r="J10" s="1298">
        <v>21.053999999999998</v>
      </c>
      <c r="K10" s="1299">
        <v>44.134999999999998</v>
      </c>
      <c r="M10" s="1300">
        <v>7.65</v>
      </c>
      <c r="N10" s="1301">
        <v>3.83</v>
      </c>
      <c r="O10" s="1302">
        <v>3.79</v>
      </c>
      <c r="P10" s="1303">
        <v>8.1999999999999993</v>
      </c>
      <c r="Q10" s="1306" t="s">
        <v>1589</v>
      </c>
    </row>
    <row r="11" spans="1:17" ht="18">
      <c r="A11" s="1286" t="s">
        <v>1590</v>
      </c>
      <c r="B11" s="1307"/>
      <c r="C11" s="1308"/>
      <c r="D11" s="1308"/>
      <c r="E11" s="1309"/>
      <c r="F11" s="3339" t="s">
        <v>1591</v>
      </c>
      <c r="G11" s="3339"/>
      <c r="H11" s="1310"/>
      <c r="I11" s="1310"/>
      <c r="J11" s="1310"/>
      <c r="K11" s="1311"/>
      <c r="M11" s="1312"/>
      <c r="N11" s="1317"/>
      <c r="O11" s="1318"/>
      <c r="P11" s="1315"/>
      <c r="Q11" s="1319" t="s">
        <v>1590</v>
      </c>
    </row>
    <row r="12" spans="1:17" ht="15.75">
      <c r="A12" s="1295" t="s">
        <v>1592</v>
      </c>
      <c r="B12" s="1296">
        <v>59.1</v>
      </c>
      <c r="C12" s="1296">
        <v>32.5</v>
      </c>
      <c r="D12" s="1296">
        <v>16.2</v>
      </c>
      <c r="E12" s="1297">
        <v>48.7</v>
      </c>
      <c r="F12" s="3339"/>
      <c r="G12" s="3339"/>
      <c r="H12" s="1298">
        <v>51.417000000000002</v>
      </c>
      <c r="I12" s="1298">
        <v>29.484000000000002</v>
      </c>
      <c r="J12" s="1298">
        <v>14.093999999999999</v>
      </c>
      <c r="K12" s="1299">
        <v>44.317</v>
      </c>
      <c r="M12" s="1300">
        <v>11.5</v>
      </c>
      <c r="N12" s="1301">
        <v>3.8</v>
      </c>
      <c r="O12" s="1302">
        <v>7.4</v>
      </c>
      <c r="P12" s="1303">
        <v>11.9</v>
      </c>
      <c r="Q12" s="1320" t="s">
        <v>1593</v>
      </c>
    </row>
    <row r="13" spans="1:17" ht="15.75">
      <c r="A13" s="1295" t="s">
        <v>1594</v>
      </c>
      <c r="B13" s="1296">
        <v>66.7</v>
      </c>
      <c r="C13" s="1296">
        <v>36.6</v>
      </c>
      <c r="D13" s="1296">
        <v>18.399999999999999</v>
      </c>
      <c r="E13" s="1321">
        <v>55</v>
      </c>
      <c r="F13" s="1322" t="s">
        <v>1595</v>
      </c>
      <c r="G13" s="1322"/>
      <c r="H13" s="1298">
        <v>58.029000000000003</v>
      </c>
      <c r="I13" s="1298">
        <v>33.305999999999997</v>
      </c>
      <c r="J13" s="1298">
        <v>16.007999999999999</v>
      </c>
      <c r="K13" s="1299">
        <v>50.05</v>
      </c>
      <c r="M13" s="1300">
        <v>11.8</v>
      </c>
      <c r="N13" s="1301">
        <v>3.9</v>
      </c>
      <c r="O13" s="1302">
        <v>7.6</v>
      </c>
      <c r="P13" s="1303">
        <v>12.1</v>
      </c>
      <c r="Q13" s="1323" t="s">
        <v>1596</v>
      </c>
    </row>
    <row r="14" spans="1:17" ht="15.75">
      <c r="A14" s="1295" t="s">
        <v>1593</v>
      </c>
      <c r="B14" s="1296">
        <v>74.400000000000006</v>
      </c>
      <c r="C14" s="1296">
        <v>40.9</v>
      </c>
      <c r="D14" s="1296">
        <v>20.399999999999999</v>
      </c>
      <c r="E14" s="1297">
        <v>61.3</v>
      </c>
      <c r="F14" s="1322" t="s">
        <v>1597</v>
      </c>
      <c r="G14" s="1322"/>
      <c r="H14" s="1298">
        <v>64.727999999999994</v>
      </c>
      <c r="I14" s="1298">
        <v>37.128</v>
      </c>
      <c r="J14" s="1298">
        <v>17.748000000000001</v>
      </c>
      <c r="K14" s="1299">
        <v>55.783000000000001</v>
      </c>
      <c r="M14" s="1300">
        <v>11.65</v>
      </c>
      <c r="N14" s="1301">
        <v>3.85</v>
      </c>
      <c r="O14" s="1302">
        <v>7.5</v>
      </c>
      <c r="P14" s="1303">
        <v>12</v>
      </c>
      <c r="Q14" s="1323" t="s">
        <v>1598</v>
      </c>
    </row>
    <row r="15" spans="1:17" ht="15.75">
      <c r="A15" s="1295" t="s">
        <v>1596</v>
      </c>
      <c r="B15" s="1324">
        <v>82</v>
      </c>
      <c r="C15" s="1324">
        <v>45.1</v>
      </c>
      <c r="D15" s="1296">
        <v>22.5</v>
      </c>
      <c r="E15" s="1297">
        <v>67.599999999999994</v>
      </c>
      <c r="F15" s="1322" t="s">
        <v>1599</v>
      </c>
      <c r="G15" s="1322"/>
      <c r="H15" s="1298">
        <v>71.34</v>
      </c>
      <c r="I15" s="1298">
        <v>40.950000000000003</v>
      </c>
      <c r="J15" s="1298">
        <v>19.574999999999999</v>
      </c>
      <c r="K15" s="1299">
        <v>61.515999999999998</v>
      </c>
      <c r="M15" s="1300">
        <v>11.95</v>
      </c>
      <c r="N15" s="1301">
        <v>3.95</v>
      </c>
      <c r="O15" s="1302">
        <v>7.6</v>
      </c>
      <c r="P15" s="1303">
        <v>12.3</v>
      </c>
      <c r="Q15" s="1323" t="s">
        <v>1600</v>
      </c>
    </row>
    <row r="16" spans="1:17" ht="15.75">
      <c r="A16" s="1295" t="s">
        <v>1598</v>
      </c>
      <c r="B16" s="1296">
        <v>89.7</v>
      </c>
      <c r="C16" s="1296">
        <v>49.3</v>
      </c>
      <c r="D16" s="1296">
        <v>24.6</v>
      </c>
      <c r="E16" s="1297">
        <v>73.900000000000006</v>
      </c>
      <c r="F16" s="1322" t="s">
        <v>1601</v>
      </c>
      <c r="G16" s="1322"/>
      <c r="H16" s="1298">
        <v>78.039000000000001</v>
      </c>
      <c r="I16" s="1298">
        <v>44.771999999999998</v>
      </c>
      <c r="J16" s="1298">
        <v>21.402000000000001</v>
      </c>
      <c r="K16" s="1299">
        <v>67.248999999999995</v>
      </c>
      <c r="M16" s="1300">
        <v>12.3</v>
      </c>
      <c r="N16" s="1301">
        <v>4.05</v>
      </c>
      <c r="O16" s="1302">
        <v>7.9</v>
      </c>
      <c r="P16" s="1303">
        <v>12.6</v>
      </c>
      <c r="Q16" s="1323" t="s">
        <v>1602</v>
      </c>
    </row>
    <row r="17" spans="1:17" ht="15.75">
      <c r="A17" s="1295" t="s">
        <v>1600</v>
      </c>
      <c r="B17" s="1296">
        <v>97.3</v>
      </c>
      <c r="C17" s="1296">
        <v>53.5</v>
      </c>
      <c r="D17" s="1296">
        <v>26.7</v>
      </c>
      <c r="E17" s="1297">
        <v>80.2</v>
      </c>
      <c r="F17" s="1322" t="s">
        <v>1603</v>
      </c>
      <c r="G17" s="1322"/>
      <c r="H17" s="1298">
        <v>84.650999999999996</v>
      </c>
      <c r="I17" s="1298">
        <v>48.594000000000001</v>
      </c>
      <c r="J17" s="1298">
        <v>23.228999999999999</v>
      </c>
      <c r="K17" s="1299">
        <v>72.981999999999999</v>
      </c>
      <c r="M17" s="1300">
        <v>12.7</v>
      </c>
      <c r="N17" s="1301">
        <v>4.2</v>
      </c>
      <c r="O17" s="1302">
        <v>8.1</v>
      </c>
      <c r="P17" s="1303">
        <v>13</v>
      </c>
      <c r="Q17" s="1323" t="s">
        <v>1604</v>
      </c>
    </row>
    <row r="18" spans="1:17" ht="18">
      <c r="A18" s="1295" t="s">
        <v>1602</v>
      </c>
      <c r="B18" s="1324">
        <v>105</v>
      </c>
      <c r="C18" s="1296">
        <v>57.7</v>
      </c>
      <c r="D18" s="1296">
        <v>28.8</v>
      </c>
      <c r="E18" s="1297">
        <v>86.5</v>
      </c>
      <c r="F18" s="1322" t="s">
        <v>1605</v>
      </c>
      <c r="G18" s="1322"/>
      <c r="H18" s="1298">
        <v>91.35</v>
      </c>
      <c r="I18" s="1298">
        <v>52.415999999999997</v>
      </c>
      <c r="J18" s="1298">
        <v>25.056000000000001</v>
      </c>
      <c r="K18" s="1299">
        <v>78.715000000000003</v>
      </c>
      <c r="M18" s="1312"/>
      <c r="N18" s="1317"/>
      <c r="O18" s="1318"/>
      <c r="P18" s="1315"/>
      <c r="Q18" s="1319" t="s">
        <v>1606</v>
      </c>
    </row>
    <row r="19" spans="1:17" ht="15.75">
      <c r="A19" s="1295" t="s">
        <v>1604</v>
      </c>
      <c r="B19" s="1296">
        <v>112.6</v>
      </c>
      <c r="C19" s="1296">
        <v>61.9</v>
      </c>
      <c r="D19" s="1296">
        <v>30.9</v>
      </c>
      <c r="E19" s="1297">
        <v>92.8</v>
      </c>
      <c r="F19" s="1322" t="s">
        <v>1607</v>
      </c>
      <c r="G19" s="1322"/>
      <c r="H19" s="1298">
        <v>97.962000000000003</v>
      </c>
      <c r="I19" s="1298">
        <v>56.238</v>
      </c>
      <c r="J19" s="1298">
        <v>26.882999999999999</v>
      </c>
      <c r="K19" s="1299">
        <v>84.447999999999993</v>
      </c>
      <c r="M19" s="1300">
        <v>11.25</v>
      </c>
      <c r="N19" s="1301">
        <v>3.7</v>
      </c>
      <c r="O19" s="1302">
        <v>7.2</v>
      </c>
      <c r="P19" s="1303">
        <v>11.6</v>
      </c>
      <c r="Q19" s="1325" t="s">
        <v>1608</v>
      </c>
    </row>
    <row r="20" spans="1:17" ht="18">
      <c r="A20" s="1275" t="s">
        <v>191</v>
      </c>
      <c r="B20" s="1326"/>
      <c r="C20" s="1326"/>
      <c r="D20" s="1326"/>
      <c r="E20" s="1327"/>
      <c r="F20" s="1278"/>
      <c r="G20" s="1278"/>
      <c r="H20" s="1328"/>
      <c r="I20" s="1328"/>
      <c r="J20" s="1328"/>
      <c r="K20" s="1329"/>
      <c r="M20" s="1330"/>
      <c r="N20" s="1331"/>
      <c r="O20" s="1332"/>
      <c r="P20" s="1333"/>
      <c r="Q20" s="1275" t="s">
        <v>191</v>
      </c>
    </row>
    <row r="21" spans="1:17" ht="18">
      <c r="A21" s="1286" t="s">
        <v>1609</v>
      </c>
      <c r="B21" s="1334"/>
      <c r="C21" s="1334"/>
      <c r="D21" s="1334"/>
      <c r="E21" s="1335"/>
      <c r="F21" s="1336" t="s">
        <v>1610</v>
      </c>
      <c r="G21" s="1336"/>
      <c r="H21" s="1310"/>
      <c r="I21" s="1310"/>
      <c r="J21" s="1310"/>
      <c r="K21" s="1311"/>
      <c r="M21" s="1312"/>
      <c r="N21" s="1317"/>
      <c r="O21" s="1318"/>
      <c r="P21" s="1315"/>
      <c r="Q21" s="1337" t="s">
        <v>1609</v>
      </c>
    </row>
    <row r="22" spans="1:17" ht="26.25">
      <c r="A22" s="1295" t="s">
        <v>1611</v>
      </c>
      <c r="B22" s="1296">
        <v>2.5</v>
      </c>
      <c r="C22" s="1296">
        <v>1.6</v>
      </c>
      <c r="D22" s="1296">
        <v>0.8</v>
      </c>
      <c r="E22" s="1297">
        <v>2.2999999999999998</v>
      </c>
      <c r="F22" s="1338" t="s">
        <v>1612</v>
      </c>
      <c r="G22" s="1338"/>
      <c r="H22" s="1298">
        <v>2.1749999999999998</v>
      </c>
      <c r="I22" s="1298">
        <v>1.456</v>
      </c>
      <c r="J22" s="1298">
        <v>0.69600000000000006</v>
      </c>
      <c r="K22" s="1299">
        <v>2.093</v>
      </c>
      <c r="M22" s="1339">
        <v>0.30000000000000004</v>
      </c>
      <c r="N22" s="1340">
        <v>4.9500000000000002E-2</v>
      </c>
      <c r="O22" s="1341">
        <v>0.13</v>
      </c>
      <c r="P22" s="1342">
        <v>0.33</v>
      </c>
      <c r="Q22" s="1343" t="s">
        <v>1611</v>
      </c>
    </row>
    <row r="23" spans="1:17" ht="26.25">
      <c r="A23" s="1344" t="s">
        <v>1613</v>
      </c>
      <c r="B23" s="1296">
        <v>2.4</v>
      </c>
      <c r="C23" s="1296">
        <v>1.5</v>
      </c>
      <c r="D23" s="1296">
        <v>0.7</v>
      </c>
      <c r="E23" s="1297">
        <v>2.2000000000000002</v>
      </c>
      <c r="F23" s="1338" t="s">
        <v>1614</v>
      </c>
      <c r="G23" s="1338"/>
      <c r="H23" s="1298">
        <v>2.0880000000000001</v>
      </c>
      <c r="I23" s="1298">
        <v>1.365</v>
      </c>
      <c r="J23" s="1298">
        <v>0.60899999999999999</v>
      </c>
      <c r="K23" s="1299">
        <v>2.0019999999999998</v>
      </c>
      <c r="M23" s="1339">
        <v>0.30000000000000004</v>
      </c>
      <c r="N23" s="1340">
        <v>4.9500000000000002E-2</v>
      </c>
      <c r="O23" s="1341">
        <v>0.13</v>
      </c>
      <c r="P23" s="1342">
        <v>0.33</v>
      </c>
      <c r="Q23" s="1343" t="s">
        <v>1613</v>
      </c>
    </row>
    <row r="24" spans="1:17" ht="18">
      <c r="A24" s="1286" t="s">
        <v>1615</v>
      </c>
      <c r="B24" s="1286"/>
      <c r="C24" s="1286"/>
      <c r="D24" s="1286"/>
      <c r="E24" s="1286"/>
      <c r="F24" s="1338" t="s">
        <v>1616</v>
      </c>
      <c r="G24" s="1338"/>
      <c r="H24" s="1345"/>
      <c r="I24" s="1345"/>
      <c r="J24" s="1345"/>
      <c r="K24" s="1346"/>
      <c r="M24" s="1347"/>
      <c r="N24" s="1348"/>
      <c r="O24" s="1349"/>
      <c r="P24" s="1350"/>
      <c r="Q24" s="1351" t="s">
        <v>1617</v>
      </c>
    </row>
    <row r="25" spans="1:17" ht="15.75">
      <c r="A25" s="1295" t="s">
        <v>1618</v>
      </c>
      <c r="B25" s="1296">
        <v>7.5</v>
      </c>
      <c r="C25" s="1296">
        <v>4.5999999999999996</v>
      </c>
      <c r="D25" s="1296">
        <v>2.2999999999999998</v>
      </c>
      <c r="E25" s="1297">
        <v>7</v>
      </c>
      <c r="F25" s="1278" t="s">
        <v>1619</v>
      </c>
      <c r="G25" s="1278"/>
      <c r="H25" s="1298">
        <v>6.5250000000000004</v>
      </c>
      <c r="I25" s="1298">
        <v>4.1859999999999999</v>
      </c>
      <c r="J25" s="1298">
        <v>2.0009999999999999</v>
      </c>
      <c r="K25" s="1299">
        <v>6.37</v>
      </c>
      <c r="M25" s="1339">
        <v>0.7</v>
      </c>
      <c r="N25" s="1340">
        <v>0.23100000000000001</v>
      </c>
      <c r="O25" s="1341">
        <v>0.47557967032967002</v>
      </c>
      <c r="P25" s="1352">
        <v>0.77</v>
      </c>
      <c r="Q25" s="1343" t="s">
        <v>1618</v>
      </c>
    </row>
    <row r="26" spans="1:17" ht="26.25">
      <c r="A26" s="1344" t="s">
        <v>1620</v>
      </c>
      <c r="B26" s="1296">
        <v>6.9</v>
      </c>
      <c r="C26" s="1296">
        <v>4.2</v>
      </c>
      <c r="D26" s="1296">
        <v>2.1</v>
      </c>
      <c r="E26" s="1297">
        <v>6.4</v>
      </c>
      <c r="F26" s="1278" t="s">
        <v>1619</v>
      </c>
      <c r="G26" s="1278"/>
      <c r="H26" s="1298">
        <v>6.0030000000000001</v>
      </c>
      <c r="I26" s="1298">
        <v>3.8220000000000001</v>
      </c>
      <c r="J26" s="1298">
        <v>1.827</v>
      </c>
      <c r="K26" s="1299">
        <v>5.8239999999999998</v>
      </c>
      <c r="M26" s="1339">
        <v>0.7</v>
      </c>
      <c r="N26" s="1340">
        <v>0.23100000000000001</v>
      </c>
      <c r="O26" s="1341">
        <v>0.47557967032967002</v>
      </c>
      <c r="P26" s="1352">
        <v>0.77</v>
      </c>
      <c r="Q26" s="1343" t="s">
        <v>1620</v>
      </c>
    </row>
    <row r="27" spans="1:17" ht="26.25">
      <c r="A27" s="1353" t="s">
        <v>1621</v>
      </c>
      <c r="B27" s="1296">
        <v>6.7</v>
      </c>
      <c r="C27" s="1296">
        <v>4.0999999999999996</v>
      </c>
      <c r="D27" s="1296">
        <v>2.1</v>
      </c>
      <c r="E27" s="1297">
        <v>6.2</v>
      </c>
      <c r="F27" s="1278" t="s">
        <v>1619</v>
      </c>
      <c r="G27" s="1278"/>
      <c r="H27" s="1298">
        <v>5.8289999999999997</v>
      </c>
      <c r="I27" s="1298">
        <v>3.7309999999999999</v>
      </c>
      <c r="J27" s="1298">
        <v>1.827</v>
      </c>
      <c r="K27" s="1299">
        <v>5.6420000000000003</v>
      </c>
      <c r="M27" s="1339">
        <v>0.7</v>
      </c>
      <c r="N27" s="1340">
        <v>0.23100000000000001</v>
      </c>
      <c r="O27" s="1341">
        <v>0.47557967032967002</v>
      </c>
      <c r="P27" s="1352">
        <v>0.77</v>
      </c>
      <c r="Q27" s="1343" t="s">
        <v>1621</v>
      </c>
    </row>
    <row r="28" spans="1:17" ht="16.5" customHeight="1">
      <c r="A28" s="1286" t="s">
        <v>1622</v>
      </c>
      <c r="B28" s="1354"/>
      <c r="C28" s="1355"/>
      <c r="D28" s="1355"/>
      <c r="E28" s="1356"/>
      <c r="H28" s="1345"/>
      <c r="I28" s="1345"/>
      <c r="J28" s="1345"/>
      <c r="K28" s="1346"/>
      <c r="M28" s="1347"/>
      <c r="N28" s="1348"/>
      <c r="O28" s="1349"/>
      <c r="P28" s="1350"/>
      <c r="Q28" s="1357" t="s">
        <v>1622</v>
      </c>
    </row>
    <row r="29" spans="1:17" ht="15.75">
      <c r="A29" s="1295" t="s">
        <v>1623</v>
      </c>
      <c r="B29" s="1296">
        <v>14.4</v>
      </c>
      <c r="C29" s="1296">
        <v>8.9</v>
      </c>
      <c r="D29" s="1296">
        <v>4.5</v>
      </c>
      <c r="E29" s="1297">
        <v>13.4</v>
      </c>
      <c r="H29" s="1298">
        <v>12.528</v>
      </c>
      <c r="I29" s="1298">
        <v>8.0990000000000002</v>
      </c>
      <c r="J29" s="1298">
        <v>3.915</v>
      </c>
      <c r="K29" s="1299">
        <v>12.194000000000001</v>
      </c>
      <c r="M29" s="1358">
        <v>2.5499999999999998</v>
      </c>
      <c r="N29" s="1340">
        <v>0.84150000000000003</v>
      </c>
      <c r="O29" s="1341">
        <v>1.73222527472527</v>
      </c>
      <c r="P29" s="1342">
        <v>2.72</v>
      </c>
      <c r="Q29" s="1343" t="s">
        <v>1623</v>
      </c>
    </row>
    <row r="30" spans="1:17" ht="15.75">
      <c r="A30" s="1295" t="s">
        <v>1624</v>
      </c>
      <c r="B30" s="1296">
        <v>12.8</v>
      </c>
      <c r="C30" s="1296">
        <v>7.9</v>
      </c>
      <c r="D30" s="1296">
        <v>4</v>
      </c>
      <c r="E30" s="1297">
        <v>11.9</v>
      </c>
      <c r="F30" s="1359"/>
      <c r="G30" s="1359"/>
      <c r="H30" s="1298">
        <v>11.135999999999999</v>
      </c>
      <c r="I30" s="1298">
        <v>7.1890000000000001</v>
      </c>
      <c r="J30" s="1298">
        <v>3.48</v>
      </c>
      <c r="K30" s="1299">
        <v>10.829000000000001</v>
      </c>
      <c r="M30" s="1358">
        <v>2.5499999999999998</v>
      </c>
      <c r="N30" s="1340">
        <v>0.84150000000000003</v>
      </c>
      <c r="O30" s="1341">
        <v>1.73222527472527</v>
      </c>
      <c r="P30" s="1342">
        <v>2.72</v>
      </c>
      <c r="Q30" s="1343" t="s">
        <v>1624</v>
      </c>
    </row>
    <row r="31" spans="1:17" ht="18">
      <c r="A31" s="1354" t="s">
        <v>1625</v>
      </c>
      <c r="B31" s="1355"/>
      <c r="C31" s="1355"/>
      <c r="D31" s="1355"/>
      <c r="E31" s="1356"/>
      <c r="F31" s="1360"/>
      <c r="G31" s="1360"/>
      <c r="H31" s="1310"/>
      <c r="I31" s="1310"/>
      <c r="J31" s="1310"/>
      <c r="K31" s="1311"/>
      <c r="M31" s="1347"/>
      <c r="N31" s="1348"/>
      <c r="O31" s="1349"/>
      <c r="P31" s="1350"/>
      <c r="Q31" s="1351" t="s">
        <v>1625</v>
      </c>
    </row>
    <row r="32" spans="1:17" ht="15.75">
      <c r="A32" s="1295" t="s">
        <v>1626</v>
      </c>
      <c r="B32" s="1296">
        <v>17.7</v>
      </c>
      <c r="C32" s="1296">
        <v>11</v>
      </c>
      <c r="D32" s="1296">
        <v>5.5</v>
      </c>
      <c r="E32" s="1297">
        <v>16.399999999999999</v>
      </c>
      <c r="F32" s="1359"/>
      <c r="G32" s="1359"/>
      <c r="H32" s="1298">
        <v>15.399000000000001</v>
      </c>
      <c r="I32" s="1298">
        <v>10.01</v>
      </c>
      <c r="J32" s="1298">
        <v>4.7850000000000001</v>
      </c>
      <c r="K32" s="1299">
        <v>14.923999999999999</v>
      </c>
      <c r="M32" s="1358">
        <v>2.5499999999999998</v>
      </c>
      <c r="N32" s="1340">
        <v>0.84150000000000003</v>
      </c>
      <c r="O32" s="1341">
        <v>1.73222527472527</v>
      </c>
      <c r="P32" s="1342">
        <v>2.72</v>
      </c>
      <c r="Q32" s="1343" t="s">
        <v>1626</v>
      </c>
    </row>
    <row r="33" spans="1:17" ht="15.75">
      <c r="A33" s="1295" t="s">
        <v>1627</v>
      </c>
      <c r="B33" s="1296">
        <v>16.7</v>
      </c>
      <c r="C33" s="1296">
        <v>10.4</v>
      </c>
      <c r="D33" s="1296">
        <v>5.2</v>
      </c>
      <c r="E33" s="1297">
        <v>15.5</v>
      </c>
      <c r="F33" s="1278"/>
      <c r="G33" s="1278"/>
      <c r="H33" s="1298">
        <v>14.529</v>
      </c>
      <c r="I33" s="1298">
        <v>9.4640000000000004</v>
      </c>
      <c r="J33" s="1298">
        <v>4.524</v>
      </c>
      <c r="K33" s="1299">
        <v>14.105</v>
      </c>
      <c r="M33" s="1358">
        <v>2.5499999999999998</v>
      </c>
      <c r="N33" s="1340">
        <v>0.84150000000000003</v>
      </c>
      <c r="O33" s="1341">
        <v>1.73222527472527</v>
      </c>
      <c r="P33" s="1342">
        <v>2.72</v>
      </c>
      <c r="Q33" s="1343" t="s">
        <v>1627</v>
      </c>
    </row>
    <row r="34" spans="1:17" ht="18">
      <c r="A34" s="1275" t="s">
        <v>258</v>
      </c>
      <c r="B34" s="1326"/>
      <c r="C34" s="1326"/>
      <c r="D34" s="1326"/>
      <c r="E34" s="1327"/>
      <c r="F34" s="1278"/>
      <c r="G34" s="1278"/>
      <c r="H34" s="1328"/>
      <c r="I34" s="1328"/>
      <c r="J34" s="1328"/>
      <c r="K34" s="1329"/>
      <c r="M34" s="1506" t="s">
        <v>1628</v>
      </c>
      <c r="N34" s="1331"/>
      <c r="O34" s="1332"/>
      <c r="P34" s="1507" t="s">
        <v>768</v>
      </c>
      <c r="Q34" s="1275" t="s">
        <v>258</v>
      </c>
    </row>
    <row r="35" spans="1:17" ht="15.75">
      <c r="A35" s="1295" t="s">
        <v>1629</v>
      </c>
      <c r="B35" s="1296">
        <v>0.13</v>
      </c>
      <c r="C35" s="1296"/>
      <c r="D35" s="1296"/>
      <c r="E35" s="1297">
        <v>0.11</v>
      </c>
      <c r="F35" s="1278" t="s">
        <v>1630</v>
      </c>
      <c r="G35" s="1278"/>
      <c r="H35" s="1832">
        <v>0.11310000000000001</v>
      </c>
      <c r="I35" s="1832"/>
      <c r="J35" s="1832"/>
      <c r="K35" s="1369">
        <v>0.10010000000000001</v>
      </c>
      <c r="M35" s="1363">
        <v>1.2E-2</v>
      </c>
      <c r="N35" s="1364"/>
      <c r="O35" s="1365"/>
      <c r="P35" s="1366">
        <v>8.5000000000000006E-3</v>
      </c>
      <c r="Q35" s="1343" t="s">
        <v>1629</v>
      </c>
    </row>
    <row r="36" spans="1:17" ht="15.75">
      <c r="A36" s="1826" t="s">
        <v>1784</v>
      </c>
      <c r="B36" s="1827"/>
      <c r="C36" s="1827"/>
      <c r="D36" s="1827"/>
      <c r="E36" s="1828">
        <v>5.2999999999999999E-2</v>
      </c>
      <c r="F36" s="1278" t="s">
        <v>1785</v>
      </c>
      <c r="G36" s="1278"/>
      <c r="H36" s="1833"/>
      <c r="I36" s="1833"/>
      <c r="J36" s="1833"/>
      <c r="K36" s="1834">
        <v>4.8000000000000001E-2</v>
      </c>
      <c r="M36" s="1829"/>
      <c r="N36" s="1364"/>
      <c r="O36" s="1365"/>
      <c r="P36" s="1830">
        <v>4.0000000000000001E-3</v>
      </c>
      <c r="Q36" s="1831" t="s">
        <v>1784</v>
      </c>
    </row>
    <row r="37" spans="1:17" ht="27" customHeight="1">
      <c r="A37" s="1295" t="s">
        <v>1631</v>
      </c>
      <c r="B37" s="1296">
        <v>0.51</v>
      </c>
      <c r="C37" s="1296"/>
      <c r="D37" s="1296"/>
      <c r="E37" s="1297">
        <v>0.43</v>
      </c>
      <c r="F37" s="3340" t="s">
        <v>1722</v>
      </c>
      <c r="G37" s="3341"/>
      <c r="H37" s="1832">
        <v>0.44370000000000004</v>
      </c>
      <c r="I37" s="1832"/>
      <c r="J37" s="1832"/>
      <c r="K37" s="1369">
        <v>0.39130000000000004</v>
      </c>
      <c r="M37" s="1363">
        <v>3.3000000000000002E-2</v>
      </c>
      <c r="N37" s="1367"/>
      <c r="O37" s="1368"/>
      <c r="P37" s="1366">
        <v>1.6E-2</v>
      </c>
      <c r="Q37" s="1343" t="s">
        <v>1631</v>
      </c>
    </row>
    <row r="38" spans="1:17" ht="26.25">
      <c r="A38" s="1295" t="s">
        <v>1632</v>
      </c>
      <c r="B38" s="1296"/>
      <c r="C38" s="1296"/>
      <c r="D38" s="1296"/>
      <c r="E38" s="1297">
        <v>0.17</v>
      </c>
      <c r="F38" s="1278" t="s">
        <v>1633</v>
      </c>
      <c r="G38" s="1278"/>
      <c r="H38" s="1832"/>
      <c r="I38" s="1832"/>
      <c r="J38" s="1832"/>
      <c r="K38" s="1369">
        <v>0.1547</v>
      </c>
      <c r="M38" s="1370"/>
      <c r="N38" s="1364"/>
      <c r="O38" s="1365"/>
      <c r="P38" s="1366">
        <v>6.0000000000000001E-3</v>
      </c>
      <c r="Q38" s="1343" t="s">
        <v>1634</v>
      </c>
    </row>
    <row r="39" spans="1:17" ht="15.75">
      <c r="A39" s="1295" t="s">
        <v>271</v>
      </c>
      <c r="B39" s="1296"/>
      <c r="C39" s="1296"/>
      <c r="D39" s="1296"/>
      <c r="E39" s="1371">
        <v>0.1</v>
      </c>
      <c r="F39" s="1278"/>
      <c r="G39" s="1278"/>
      <c r="H39" s="1832"/>
      <c r="I39" s="1832"/>
      <c r="J39" s="1832"/>
      <c r="K39" s="1369">
        <v>9.0999999999999998E-2</v>
      </c>
      <c r="M39" s="1370"/>
      <c r="N39" s="1364"/>
      <c r="O39" s="1365"/>
      <c r="P39" s="1366">
        <v>3.0000000000000001E-3</v>
      </c>
      <c r="Q39" s="1343" t="s">
        <v>271</v>
      </c>
    </row>
    <row r="40" spans="1:17" ht="15.75">
      <c r="A40" s="1295" t="s">
        <v>273</v>
      </c>
      <c r="B40" s="1296"/>
      <c r="C40" s="1296"/>
      <c r="D40" s="1296"/>
      <c r="E40" s="1297">
        <v>0.28999999999999998</v>
      </c>
      <c r="F40" s="1278"/>
      <c r="G40" s="1278"/>
      <c r="H40" s="1832"/>
      <c r="I40" s="1832"/>
      <c r="J40" s="1832"/>
      <c r="K40" s="1369">
        <v>0.26390000000000002</v>
      </c>
      <c r="M40" s="1370"/>
      <c r="N40" s="1364"/>
      <c r="O40" s="1365"/>
      <c r="P40" s="1372">
        <v>2.9000000000000001E-2</v>
      </c>
      <c r="Q40" s="1343" t="s">
        <v>273</v>
      </c>
    </row>
    <row r="41" spans="1:17" ht="15.75">
      <c r="A41" s="1295" t="s">
        <v>274</v>
      </c>
      <c r="B41" s="1296"/>
      <c r="C41" s="1296"/>
      <c r="D41" s="1296"/>
      <c r="E41" s="1297">
        <v>0.28999999999999998</v>
      </c>
      <c r="F41" s="1278"/>
      <c r="G41" s="1278"/>
      <c r="H41" s="1832"/>
      <c r="I41" s="1832"/>
      <c r="J41" s="1832"/>
      <c r="K41" s="1369">
        <v>0.26390000000000002</v>
      </c>
      <c r="M41" s="1370"/>
      <c r="N41" s="1364"/>
      <c r="O41" s="1365"/>
      <c r="P41" s="1372">
        <v>1.4E-2</v>
      </c>
      <c r="Q41" s="1343" t="s">
        <v>274</v>
      </c>
    </row>
    <row r="42" spans="1:17" ht="15.75">
      <c r="A42" s="1295" t="s">
        <v>1635</v>
      </c>
      <c r="B42" s="1296"/>
      <c r="C42" s="1296"/>
      <c r="D42" s="1296"/>
      <c r="E42" s="1297">
        <v>0.65</v>
      </c>
      <c r="F42" s="1278" t="s">
        <v>1636</v>
      </c>
      <c r="G42" s="1278"/>
      <c r="H42" s="1832"/>
      <c r="I42" s="1832"/>
      <c r="J42" s="1832"/>
      <c r="K42" s="1369">
        <v>0.59150000000000003</v>
      </c>
      <c r="M42" s="1370"/>
      <c r="N42" s="1364"/>
      <c r="O42" s="1365"/>
      <c r="P42" s="1366">
        <v>0.03</v>
      </c>
      <c r="Q42" s="1343" t="s">
        <v>1635</v>
      </c>
    </row>
    <row r="43" spans="1:17" ht="18">
      <c r="A43" s="1275" t="s">
        <v>760</v>
      </c>
      <c r="B43" s="1326"/>
      <c r="C43" s="1326"/>
      <c r="D43" s="1326"/>
      <c r="E43" s="1327"/>
      <c r="F43" s="1278"/>
      <c r="G43" s="1278"/>
      <c r="H43" s="1373"/>
      <c r="I43" s="1373"/>
      <c r="J43" s="1373"/>
      <c r="K43" s="1329"/>
      <c r="M43" s="1330"/>
      <c r="N43" s="1331"/>
      <c r="O43" s="1332"/>
      <c r="P43" s="1333"/>
      <c r="Q43" s="1275" t="s">
        <v>760</v>
      </c>
    </row>
    <row r="44" spans="1:17" ht="18" customHeight="1">
      <c r="A44" s="1354" t="s">
        <v>1637</v>
      </c>
      <c r="B44" s="1355"/>
      <c r="C44" s="1355"/>
      <c r="D44" s="1355"/>
      <c r="E44" s="1356"/>
      <c r="F44" s="1278"/>
      <c r="G44" s="1278"/>
      <c r="H44" s="1345"/>
      <c r="I44" s="1345"/>
      <c r="J44" s="1345"/>
      <c r="K44" s="1346"/>
      <c r="M44" s="1312"/>
      <c r="N44" s="1317"/>
      <c r="O44" s="1318"/>
      <c r="P44" s="1315"/>
      <c r="Q44" s="1374" t="s">
        <v>1638</v>
      </c>
    </row>
    <row r="45" spans="1:17" ht="15.75">
      <c r="A45" s="1295" t="s">
        <v>1639</v>
      </c>
      <c r="B45" s="1375"/>
      <c r="C45" s="1375"/>
      <c r="D45" s="1375"/>
      <c r="E45" s="1297">
        <v>8.9</v>
      </c>
      <c r="F45" s="1278"/>
      <c r="G45" s="1278"/>
      <c r="H45" s="1376"/>
      <c r="I45" s="1376"/>
      <c r="J45" s="2703"/>
      <c r="K45" s="1299">
        <v>8.0990000000000002</v>
      </c>
      <c r="M45" s="1370"/>
      <c r="N45" s="1364"/>
      <c r="O45" s="1365"/>
      <c r="P45" s="1377">
        <v>2</v>
      </c>
      <c r="Q45" s="1378" t="s">
        <v>1639</v>
      </c>
    </row>
    <row r="46" spans="1:17" ht="15.75">
      <c r="A46" s="1295" t="s">
        <v>1640</v>
      </c>
      <c r="B46" s="1375"/>
      <c r="C46" s="1375"/>
      <c r="D46" s="1375"/>
      <c r="E46" s="1297">
        <v>10.5</v>
      </c>
      <c r="F46" s="1278"/>
      <c r="G46" s="1278"/>
      <c r="H46" s="1376"/>
      <c r="I46" s="1376"/>
      <c r="J46" s="2703"/>
      <c r="K46" s="1299">
        <v>9.5549999999999997</v>
      </c>
      <c r="M46" s="1370"/>
      <c r="N46" s="1364"/>
      <c r="O46" s="1365"/>
      <c r="P46" s="1377">
        <v>2.5</v>
      </c>
      <c r="Q46" s="1378" t="s">
        <v>1640</v>
      </c>
    </row>
    <row r="47" spans="1:17" ht="18" customHeight="1">
      <c r="A47" s="1354" t="s">
        <v>1641</v>
      </c>
      <c r="B47" s="1355"/>
      <c r="C47" s="1355"/>
      <c r="D47" s="1355"/>
      <c r="E47" s="1356"/>
      <c r="F47" s="1278"/>
      <c r="G47" s="1278"/>
      <c r="H47" s="1345"/>
      <c r="I47" s="1345"/>
      <c r="J47" s="2703"/>
      <c r="K47" s="1346"/>
      <c r="M47" s="1312"/>
      <c r="N47" s="1317"/>
      <c r="O47" s="1318"/>
      <c r="P47" s="1379"/>
      <c r="Q47" s="1374" t="s">
        <v>1642</v>
      </c>
    </row>
    <row r="48" spans="1:17" ht="15.75">
      <c r="A48" s="1295" t="s">
        <v>1639</v>
      </c>
      <c r="B48" s="1375"/>
      <c r="C48" s="1375"/>
      <c r="D48" s="1375"/>
      <c r="E48" s="1297">
        <v>17.399999999999999</v>
      </c>
      <c r="F48" s="1278"/>
      <c r="G48" s="1278"/>
      <c r="H48" s="1376"/>
      <c r="I48" s="1376"/>
      <c r="J48" s="2703"/>
      <c r="K48" s="1299">
        <v>15.834</v>
      </c>
      <c r="M48" s="1370"/>
      <c r="N48" s="1364"/>
      <c r="O48" s="1365"/>
      <c r="P48" s="1377">
        <v>3</v>
      </c>
      <c r="Q48" s="1378" t="s">
        <v>1639</v>
      </c>
    </row>
    <row r="49" spans="1:17" ht="15.75">
      <c r="A49" s="1295" t="s">
        <v>1640</v>
      </c>
      <c r="B49" s="1375"/>
      <c r="C49" s="1375"/>
      <c r="D49" s="1375"/>
      <c r="E49" s="1297">
        <v>20.5</v>
      </c>
      <c r="F49" s="1278"/>
      <c r="G49" s="1278"/>
      <c r="H49" s="1376"/>
      <c r="I49" s="1376"/>
      <c r="J49" s="2703"/>
      <c r="K49" s="1299">
        <v>18.655000000000001</v>
      </c>
      <c r="M49" s="1370"/>
      <c r="N49" s="1364"/>
      <c r="O49" s="1365"/>
      <c r="P49" s="1377">
        <v>3.77</v>
      </c>
      <c r="Q49" s="1378" t="s">
        <v>1640</v>
      </c>
    </row>
    <row r="50" spans="1:17" ht="18">
      <c r="A50" s="1354" t="s">
        <v>1643</v>
      </c>
      <c r="B50" s="1355"/>
      <c r="C50" s="1355"/>
      <c r="D50" s="1355"/>
      <c r="E50" s="1356"/>
      <c r="F50" s="1278"/>
      <c r="G50" s="1278"/>
      <c r="H50" s="1345"/>
      <c r="I50" s="1345"/>
      <c r="J50" s="2703"/>
      <c r="K50" s="1346"/>
      <c r="M50" s="1312"/>
      <c r="N50" s="1317"/>
      <c r="O50" s="1318"/>
      <c r="P50" s="1379"/>
      <c r="Q50" s="1374" t="s">
        <v>1644</v>
      </c>
    </row>
    <row r="51" spans="1:17" ht="15.75">
      <c r="A51" s="1295" t="s">
        <v>1639</v>
      </c>
      <c r="B51" s="1375"/>
      <c r="C51" s="1375"/>
      <c r="D51" s="1375"/>
      <c r="E51" s="1297">
        <v>31.2</v>
      </c>
      <c r="F51" s="1278"/>
      <c r="G51" s="1278"/>
      <c r="H51" s="1376"/>
      <c r="I51" s="1376"/>
      <c r="J51" s="2703"/>
      <c r="K51" s="1299">
        <v>28.391999999999999</v>
      </c>
      <c r="M51" s="1370"/>
      <c r="N51" s="1364"/>
      <c r="O51" s="1365"/>
      <c r="P51" s="1377">
        <v>6</v>
      </c>
      <c r="Q51" s="1378" t="s">
        <v>1639</v>
      </c>
    </row>
    <row r="52" spans="1:17" ht="15.75">
      <c r="A52" s="1295" t="s">
        <v>1640</v>
      </c>
      <c r="B52" s="1375"/>
      <c r="C52" s="1375"/>
      <c r="D52" s="1375"/>
      <c r="E52" s="1297">
        <v>36.799999999999997</v>
      </c>
      <c r="F52" s="1278"/>
      <c r="G52" s="1278"/>
      <c r="H52" s="1376"/>
      <c r="I52" s="1376"/>
      <c r="J52" s="2703"/>
      <c r="K52" s="1299">
        <v>33.488</v>
      </c>
      <c r="M52" s="1370"/>
      <c r="N52" s="1364"/>
      <c r="O52" s="1365"/>
      <c r="P52" s="1377">
        <v>6.7</v>
      </c>
      <c r="Q52" s="1378" t="s">
        <v>1640</v>
      </c>
    </row>
    <row r="53" spans="1:17" ht="16.5" customHeight="1">
      <c r="A53" s="1275" t="s">
        <v>1645</v>
      </c>
      <c r="B53" s="1326"/>
      <c r="C53" s="1326"/>
      <c r="D53" s="1326"/>
      <c r="E53" s="1327"/>
      <c r="F53" s="3337" t="s">
        <v>1646</v>
      </c>
      <c r="G53" s="3337"/>
      <c r="H53" s="1373"/>
      <c r="I53" s="1373"/>
      <c r="J53" s="2703"/>
      <c r="K53" s="1329"/>
      <c r="M53" s="1330"/>
      <c r="N53" s="1331"/>
      <c r="O53" s="1332"/>
      <c r="P53" s="1380"/>
      <c r="Q53" s="1275" t="s">
        <v>1645</v>
      </c>
    </row>
    <row r="54" spans="1:17" ht="15.75">
      <c r="A54" s="1295" t="s">
        <v>1647</v>
      </c>
      <c r="B54" s="1375"/>
      <c r="C54" s="1375"/>
      <c r="D54" s="1375"/>
      <c r="E54" s="1297">
        <v>5.4</v>
      </c>
      <c r="F54" s="3337"/>
      <c r="G54" s="3337"/>
      <c r="H54" s="1376"/>
      <c r="I54" s="1376"/>
      <c r="J54" s="2703"/>
      <c r="K54" s="1299">
        <v>4.9139999999999997</v>
      </c>
      <c r="M54" s="1370"/>
      <c r="N54" s="1364"/>
      <c r="O54" s="1365"/>
      <c r="P54" s="1342">
        <v>0.22</v>
      </c>
      <c r="Q54" s="1381" t="s">
        <v>1647</v>
      </c>
    </row>
    <row r="55" spans="1:17" ht="15.75">
      <c r="A55" s="1295" t="s">
        <v>1648</v>
      </c>
      <c r="B55" s="1375"/>
      <c r="C55" s="1375"/>
      <c r="D55" s="1375"/>
      <c r="E55" s="1297">
        <v>7.3</v>
      </c>
      <c r="F55" s="1278" t="s">
        <v>1649</v>
      </c>
      <c r="G55" s="1278"/>
      <c r="H55" s="1376"/>
      <c r="I55" s="1376"/>
      <c r="J55" s="2703"/>
      <c r="K55" s="1299">
        <v>6.6429999999999998</v>
      </c>
      <c r="M55" s="1370"/>
      <c r="N55" s="1364"/>
      <c r="O55" s="1365"/>
      <c r="P55" s="1342">
        <v>0.52</v>
      </c>
      <c r="Q55" s="1381" t="s">
        <v>1648</v>
      </c>
    </row>
    <row r="56" spans="1:17" ht="15.75">
      <c r="A56" s="1295" t="s">
        <v>288</v>
      </c>
      <c r="B56" s="1375"/>
      <c r="C56" s="1375"/>
      <c r="D56" s="1375"/>
      <c r="E56" s="1297">
        <v>7.7</v>
      </c>
      <c r="F56" s="1278"/>
      <c r="G56" s="1278"/>
      <c r="H56" s="1376"/>
      <c r="I56" s="1376"/>
      <c r="J56" s="2703"/>
      <c r="K56" s="1299">
        <v>7.0069999999999997</v>
      </c>
      <c r="M56" s="1370"/>
      <c r="N56" s="1364"/>
      <c r="O56" s="1365"/>
      <c r="P56" s="1342">
        <v>0.52</v>
      </c>
      <c r="Q56" s="1381" t="s">
        <v>288</v>
      </c>
    </row>
    <row r="57" spans="1:17" ht="18">
      <c r="A57" s="1275" t="s">
        <v>1650</v>
      </c>
      <c r="B57" s="1326"/>
      <c r="C57" s="1326"/>
      <c r="D57" s="1326"/>
      <c r="E57" s="1327"/>
      <c r="F57" s="1278"/>
      <c r="G57" s="1278"/>
      <c r="H57" s="1373"/>
      <c r="I57" s="1373"/>
      <c r="J57" s="2703"/>
      <c r="K57" s="1329"/>
      <c r="M57" s="1330"/>
      <c r="N57" s="1331"/>
      <c r="O57" s="1332"/>
      <c r="P57" s="1380"/>
      <c r="Q57" s="1275" t="s">
        <v>1650</v>
      </c>
    </row>
    <row r="58" spans="1:17" ht="15.75">
      <c r="A58" s="1295" t="s">
        <v>1651</v>
      </c>
      <c r="B58" s="1375"/>
      <c r="C58" s="1375"/>
      <c r="D58" s="1375"/>
      <c r="E58" s="1321">
        <v>5</v>
      </c>
      <c r="F58" s="1278" t="s">
        <v>1652</v>
      </c>
      <c r="G58" s="1278"/>
      <c r="H58" s="1376"/>
      <c r="I58" s="1376"/>
      <c r="J58" s="2703"/>
      <c r="K58" s="1299">
        <v>4.55</v>
      </c>
      <c r="M58" s="1370"/>
      <c r="N58" s="1364"/>
      <c r="O58" s="1365"/>
      <c r="P58" s="1342">
        <v>0.16</v>
      </c>
      <c r="Q58" s="1381" t="s">
        <v>1651</v>
      </c>
    </row>
    <row r="59" spans="1:17" ht="15.75">
      <c r="A59" s="1295" t="s">
        <v>1648</v>
      </c>
      <c r="B59" s="1375"/>
      <c r="C59" s="1375"/>
      <c r="D59" s="1375"/>
      <c r="E59" s="1297">
        <v>6.6</v>
      </c>
      <c r="H59" s="1376"/>
      <c r="I59" s="1376"/>
      <c r="J59" s="2703"/>
      <c r="K59" s="1299">
        <v>6.0060000000000002</v>
      </c>
      <c r="M59" s="1370"/>
      <c r="N59" s="1364"/>
      <c r="O59" s="1365"/>
      <c r="P59" s="1342">
        <v>0.38</v>
      </c>
      <c r="Q59" s="1381" t="s">
        <v>1648</v>
      </c>
    </row>
    <row r="60" spans="1:17" ht="15.75">
      <c r="A60" s="1343" t="s">
        <v>291</v>
      </c>
      <c r="B60" s="1382"/>
      <c r="C60" s="1382"/>
      <c r="D60" s="1382"/>
      <c r="E60" s="1383">
        <v>7.2</v>
      </c>
      <c r="H60" s="1376"/>
      <c r="I60" s="1376"/>
      <c r="J60" s="2703"/>
      <c r="K60" s="1299">
        <v>6.5519999999999996</v>
      </c>
      <c r="M60" s="1384"/>
      <c r="N60" s="1385"/>
      <c r="O60" s="1386"/>
      <c r="P60" s="1387">
        <v>0.38</v>
      </c>
      <c r="Q60" s="1388" t="s">
        <v>291</v>
      </c>
    </row>
    <row r="61" spans="1:17">
      <c r="M61" s="1389"/>
      <c r="N61" s="1389"/>
      <c r="O61" s="1389"/>
    </row>
    <row r="62" spans="1:17" ht="18">
      <c r="A62" s="1275" t="s">
        <v>1653</v>
      </c>
      <c r="B62" s="1390"/>
      <c r="C62" s="1390"/>
      <c r="D62" s="1390"/>
      <c r="E62" s="1390"/>
      <c r="H62" s="1373"/>
      <c r="I62" s="1373"/>
      <c r="J62" s="1373"/>
      <c r="K62" s="1329"/>
      <c r="M62" s="1361"/>
      <c r="N62" s="1331"/>
      <c r="O62" s="1332"/>
      <c r="P62" s="1362"/>
      <c r="Q62" s="1275" t="s">
        <v>1653</v>
      </c>
    </row>
    <row r="63" spans="1:17" ht="15.75">
      <c r="A63" s="1295" t="s">
        <v>1654</v>
      </c>
      <c r="B63" s="1375"/>
      <c r="C63" s="1375"/>
      <c r="D63" s="1375"/>
      <c r="E63" s="1321">
        <v>10.1</v>
      </c>
      <c r="H63" s="1391"/>
      <c r="I63" s="1391"/>
      <c r="J63" s="1391"/>
      <c r="K63" s="1392"/>
      <c r="M63" s="1363"/>
      <c r="N63" s="1364"/>
      <c r="O63" s="1365"/>
      <c r="P63" s="1366"/>
      <c r="Q63" s="1295" t="s">
        <v>1654</v>
      </c>
    </row>
    <row r="64" spans="1:17" ht="15.75">
      <c r="A64" s="1295" t="s">
        <v>1655</v>
      </c>
      <c r="B64" s="1375"/>
      <c r="C64" s="1375"/>
      <c r="D64" s="1375"/>
      <c r="E64" s="1321">
        <v>7.1</v>
      </c>
      <c r="H64" s="1376"/>
      <c r="I64" s="1376"/>
      <c r="J64" s="1376"/>
      <c r="K64" s="1299"/>
      <c r="M64" s="1363"/>
      <c r="N64" s="1367"/>
      <c r="O64" s="1368"/>
      <c r="P64" s="1366"/>
      <c r="Q64" s="1295" t="s">
        <v>1655</v>
      </c>
    </row>
    <row r="65" spans="1:17" ht="18">
      <c r="A65" s="1275" t="s">
        <v>1656</v>
      </c>
      <c r="B65" s="1326"/>
      <c r="C65" s="1326"/>
      <c r="D65" s="1326"/>
      <c r="E65" s="1327"/>
      <c r="H65" s="1373"/>
      <c r="I65" s="1373"/>
      <c r="J65" s="1373"/>
      <c r="K65" s="1329"/>
      <c r="M65" s="1361"/>
      <c r="N65" s="1331"/>
      <c r="O65" s="1332"/>
      <c r="P65" s="1362"/>
      <c r="Q65" s="1275" t="s">
        <v>1656</v>
      </c>
    </row>
    <row r="66" spans="1:17" ht="15.75">
      <c r="A66" s="1295" t="s">
        <v>1654</v>
      </c>
      <c r="B66" s="1375"/>
      <c r="C66" s="1375"/>
      <c r="D66" s="1375"/>
      <c r="E66" s="1321">
        <v>20.9</v>
      </c>
      <c r="H66" s="1376"/>
      <c r="I66" s="1376"/>
      <c r="J66" s="1376"/>
      <c r="K66" s="1299"/>
      <c r="M66" s="1363"/>
      <c r="N66" s="1364"/>
      <c r="O66" s="1365"/>
      <c r="P66" s="1366"/>
      <c r="Q66" s="1295" t="s">
        <v>1654</v>
      </c>
    </row>
    <row r="67" spans="1:17" ht="15.75">
      <c r="A67" s="1295" t="s">
        <v>1657</v>
      </c>
      <c r="B67" s="1375"/>
      <c r="C67" s="1375"/>
      <c r="D67" s="1375"/>
      <c r="E67" s="1321">
        <v>17</v>
      </c>
      <c r="H67" s="1376"/>
      <c r="I67" s="1376"/>
      <c r="J67" s="1376"/>
      <c r="K67" s="1299"/>
      <c r="M67" s="1363"/>
      <c r="N67" s="1367"/>
      <c r="O67" s="1368"/>
      <c r="P67" s="1366"/>
      <c r="Q67" s="1295" t="s">
        <v>1657</v>
      </c>
    </row>
    <row r="68" spans="1:17" ht="18">
      <c r="A68" s="1275" t="s">
        <v>1658</v>
      </c>
      <c r="B68" s="1326"/>
      <c r="C68" s="1326"/>
      <c r="D68" s="1326"/>
      <c r="E68" s="1327"/>
      <c r="H68" s="1373"/>
      <c r="I68" s="1373"/>
      <c r="J68" s="1373"/>
      <c r="K68" s="1329"/>
      <c r="M68" s="1361"/>
      <c r="N68" s="1331"/>
      <c r="O68" s="1332"/>
      <c r="P68" s="1362"/>
      <c r="Q68" s="1275" t="s">
        <v>1658</v>
      </c>
    </row>
    <row r="69" spans="1:17" ht="15.75">
      <c r="A69" s="1295" t="s">
        <v>1659</v>
      </c>
      <c r="B69" s="1393">
        <v>0.72310000000000008</v>
      </c>
      <c r="C69" s="1375"/>
      <c r="D69" s="1375"/>
      <c r="E69" s="1321">
        <v>0.61980000000000002</v>
      </c>
      <c r="F69" s="1394" t="s">
        <v>1660</v>
      </c>
      <c r="G69" s="1394"/>
      <c r="H69" s="1376"/>
      <c r="I69" s="1376"/>
      <c r="J69" s="1376"/>
      <c r="K69" s="1299"/>
      <c r="M69" s="1363"/>
      <c r="N69" s="1364"/>
      <c r="O69" s="1365"/>
      <c r="P69" s="1366"/>
      <c r="Q69" s="1295" t="s">
        <v>1659</v>
      </c>
    </row>
    <row r="70" spans="1:17" ht="15.75">
      <c r="A70" s="1295" t="s">
        <v>1661</v>
      </c>
      <c r="B70" s="1393">
        <v>1.5672999999999999</v>
      </c>
      <c r="C70" s="1375"/>
      <c r="D70" s="1375"/>
      <c r="E70" s="1321">
        <v>1.3433999999999999</v>
      </c>
      <c r="H70" s="1376"/>
      <c r="I70" s="1376"/>
      <c r="J70" s="1376"/>
      <c r="K70" s="1299"/>
      <c r="M70" s="1363"/>
      <c r="N70" s="1367"/>
      <c r="O70" s="1368"/>
      <c r="P70" s="1366"/>
      <c r="Q70" s="1295" t="s">
        <v>1661</v>
      </c>
    </row>
    <row r="71" spans="1:17" ht="18">
      <c r="A71" s="1275" t="s">
        <v>1662</v>
      </c>
      <c r="B71" s="1326"/>
      <c r="C71" s="1326"/>
      <c r="D71" s="1326"/>
      <c r="E71" s="1327"/>
      <c r="H71" s="1373"/>
      <c r="I71" s="1373"/>
      <c r="J71" s="1373"/>
      <c r="K71" s="1329"/>
      <c r="M71" s="1361"/>
      <c r="N71" s="1331"/>
      <c r="O71" s="1332"/>
      <c r="P71" s="1362"/>
      <c r="Q71" s="1275" t="s">
        <v>1662</v>
      </c>
    </row>
    <row r="72" spans="1:17" ht="15.75">
      <c r="A72" s="1295" t="s">
        <v>1663</v>
      </c>
      <c r="B72" s="1393">
        <v>1.2411000000000001</v>
      </c>
      <c r="C72" s="1375"/>
      <c r="D72" s="1375"/>
      <c r="E72" s="1321">
        <v>1.0638000000000001</v>
      </c>
      <c r="H72" s="1376"/>
      <c r="I72" s="1376"/>
      <c r="J72" s="1376"/>
      <c r="K72" s="1299"/>
      <c r="M72" s="1363"/>
      <c r="N72" s="1364"/>
      <c r="O72" s="1365"/>
      <c r="P72" s="1366"/>
      <c r="Q72" s="1295" t="s">
        <v>1663</v>
      </c>
    </row>
    <row r="73" spans="1:17" ht="15.75">
      <c r="A73" s="1295" t="s">
        <v>1664</v>
      </c>
      <c r="B73" s="1393">
        <v>3.1863999999999999</v>
      </c>
      <c r="C73" s="1375"/>
      <c r="D73" s="1375"/>
      <c r="E73" s="1321">
        <v>2.7312000000000003</v>
      </c>
      <c r="H73" s="1376"/>
      <c r="I73" s="1376"/>
      <c r="J73" s="1376"/>
      <c r="K73" s="1299"/>
      <c r="M73" s="1363"/>
      <c r="N73" s="1367"/>
      <c r="O73" s="1368"/>
      <c r="P73" s="1366"/>
      <c r="Q73" s="1295" t="s">
        <v>1664</v>
      </c>
    </row>
    <row r="74" spans="1:17" ht="15.75">
      <c r="A74" s="1295" t="s">
        <v>1665</v>
      </c>
      <c r="B74" s="1393">
        <v>4.1033999999999997</v>
      </c>
      <c r="C74" s="1375"/>
      <c r="D74" s="1375"/>
      <c r="E74" s="1321">
        <v>3.5171999999999999</v>
      </c>
      <c r="H74" s="1376"/>
      <c r="I74" s="1376"/>
      <c r="J74" s="1376"/>
      <c r="K74" s="1299"/>
      <c r="M74" s="1363"/>
      <c r="N74" s="1367"/>
      <c r="O74" s="1368"/>
      <c r="P74" s="1366"/>
      <c r="Q74" s="1295" t="s">
        <v>1665</v>
      </c>
    </row>
    <row r="75" spans="1:17" ht="15.75">
      <c r="A75" s="1295" t="s">
        <v>1666</v>
      </c>
      <c r="B75" s="1393">
        <v>4.9013999999999998</v>
      </c>
      <c r="C75" s="1375"/>
      <c r="D75" s="1375"/>
      <c r="E75" s="1321">
        <v>4.2012</v>
      </c>
      <c r="H75" s="1376"/>
      <c r="I75" s="1376"/>
      <c r="J75" s="1376"/>
      <c r="K75" s="1299"/>
      <c r="M75" s="1363"/>
      <c r="N75" s="1367"/>
      <c r="O75" s="1368"/>
      <c r="P75" s="1366"/>
      <c r="Q75" s="1295" t="s">
        <v>1666</v>
      </c>
    </row>
    <row r="76" spans="1:17" ht="18">
      <c r="A76" s="1275" t="s">
        <v>1667</v>
      </c>
      <c r="B76" s="1326"/>
      <c r="C76" s="1326"/>
      <c r="D76" s="1326"/>
      <c r="E76" s="1327"/>
      <c r="H76" s="1373"/>
      <c r="I76" s="1373"/>
      <c r="J76" s="1373"/>
      <c r="K76" s="1329"/>
      <c r="M76" s="1361"/>
      <c r="N76" s="1331"/>
      <c r="O76" s="1332"/>
      <c r="P76" s="1362"/>
      <c r="Q76" s="1395" t="s">
        <v>1667</v>
      </c>
    </row>
    <row r="77" spans="1:17" ht="25.5">
      <c r="A77" s="1295" t="s">
        <v>1668</v>
      </c>
      <c r="B77" s="1396">
        <v>6.35</v>
      </c>
      <c r="C77" s="1397">
        <v>2.6</v>
      </c>
      <c r="D77" s="1396">
        <v>2.6</v>
      </c>
      <c r="E77" s="1398">
        <v>5.2</v>
      </c>
      <c r="M77" s="1399">
        <v>0.65</v>
      </c>
      <c r="N77" s="1400">
        <v>0.32500000000000001</v>
      </c>
      <c r="O77" s="1401">
        <v>0.375</v>
      </c>
      <c r="P77" s="1402">
        <v>0.85</v>
      </c>
      <c r="Q77" s="1295" t="s">
        <v>1668</v>
      </c>
    </row>
    <row r="78" spans="1:17" ht="15.75">
      <c r="A78" s="1295" t="s">
        <v>1669</v>
      </c>
      <c r="B78" s="1396">
        <v>17.2</v>
      </c>
      <c r="C78" s="1397">
        <v>7.1</v>
      </c>
      <c r="D78" s="1396">
        <v>7.1</v>
      </c>
      <c r="E78" s="1398">
        <v>14.2</v>
      </c>
      <c r="M78" s="1403">
        <v>1.7000000000000002</v>
      </c>
      <c r="N78" s="1404">
        <v>0.85</v>
      </c>
      <c r="O78" s="1405">
        <v>0.89</v>
      </c>
      <c r="P78" s="1402">
        <v>1.9500000000000002</v>
      </c>
      <c r="Q78" s="1295" t="s">
        <v>1669</v>
      </c>
    </row>
    <row r="79" spans="1:17" ht="15.75">
      <c r="A79" s="1295" t="s">
        <v>1670</v>
      </c>
      <c r="B79" s="1396">
        <v>22.8</v>
      </c>
      <c r="C79" s="1397">
        <v>9.4</v>
      </c>
      <c r="D79" s="1396">
        <v>9.35</v>
      </c>
      <c r="E79" s="1398">
        <v>18.75</v>
      </c>
      <c r="M79" s="1403">
        <v>2.9</v>
      </c>
      <c r="N79" s="1404">
        <v>1.45</v>
      </c>
      <c r="O79" s="1401">
        <v>1.4750000000000001</v>
      </c>
      <c r="P79" s="1406">
        <v>3.1</v>
      </c>
      <c r="Q79" s="1295" t="s">
        <v>1670</v>
      </c>
    </row>
    <row r="80" spans="1:17" ht="15.75">
      <c r="A80" s="1295" t="s">
        <v>1671</v>
      </c>
      <c r="B80" s="1396">
        <v>27.35</v>
      </c>
      <c r="C80" s="1397">
        <v>11.3</v>
      </c>
      <c r="D80" s="1396">
        <v>11.25</v>
      </c>
      <c r="E80" s="1398">
        <v>22.55</v>
      </c>
      <c r="M80" s="1399">
        <v>3.55</v>
      </c>
      <c r="N80" s="1404">
        <v>1.75</v>
      </c>
      <c r="O80" s="1405">
        <v>1.77</v>
      </c>
      <c r="P80" s="1402">
        <v>3.85</v>
      </c>
      <c r="Q80" s="1295" t="s">
        <v>1671</v>
      </c>
    </row>
    <row r="81" spans="1:17" ht="15.75">
      <c r="A81" s="1295" t="s">
        <v>1672</v>
      </c>
      <c r="B81" s="1396">
        <v>29.45</v>
      </c>
      <c r="C81" s="1397">
        <v>12.15</v>
      </c>
      <c r="D81" s="1396">
        <v>12.1</v>
      </c>
      <c r="E81" s="1398">
        <v>24.25</v>
      </c>
      <c r="M81" s="1399">
        <v>3.8250000000000002</v>
      </c>
      <c r="N81" s="1400">
        <v>1.915</v>
      </c>
      <c r="O81" s="1401">
        <v>1.895</v>
      </c>
      <c r="P81" s="1406">
        <v>4.0999999999999996</v>
      </c>
      <c r="Q81" s="1295" t="s">
        <v>1672</v>
      </c>
    </row>
    <row r="82" spans="1:17" ht="15.75">
      <c r="A82" s="1295" t="s">
        <v>1673</v>
      </c>
      <c r="B82" s="1396">
        <v>29.55</v>
      </c>
      <c r="C82" s="1397">
        <v>16.25</v>
      </c>
      <c r="D82" s="1396">
        <v>8.1</v>
      </c>
      <c r="E82" s="1398">
        <v>24.35</v>
      </c>
      <c r="M82" s="1399">
        <v>11.25</v>
      </c>
      <c r="N82" s="1407">
        <v>3.7</v>
      </c>
      <c r="O82" s="1408">
        <v>7.2</v>
      </c>
      <c r="P82" s="1406">
        <v>11.6</v>
      </c>
      <c r="Q82" s="1295" t="s">
        <v>1674</v>
      </c>
    </row>
    <row r="83" spans="1:17" ht="15.75">
      <c r="A83" s="1295" t="s">
        <v>1675</v>
      </c>
      <c r="B83" s="1396">
        <v>33.35</v>
      </c>
      <c r="C83" s="1397">
        <v>18.3</v>
      </c>
      <c r="D83" s="1396">
        <v>9.1999999999999993</v>
      </c>
      <c r="E83" s="1398">
        <v>27.5</v>
      </c>
      <c r="M83" s="1403">
        <v>11.5</v>
      </c>
      <c r="N83" s="1407">
        <v>3.8</v>
      </c>
      <c r="O83" s="1408">
        <v>7.4</v>
      </c>
      <c r="P83" s="1406">
        <v>11.9</v>
      </c>
      <c r="Q83" s="1295" t="s">
        <v>1676</v>
      </c>
    </row>
    <row r="84" spans="1:17" ht="15.75">
      <c r="A84" s="1295" t="s">
        <v>1676</v>
      </c>
      <c r="B84" s="1396">
        <v>37.200000000000003</v>
      </c>
      <c r="C84" s="1397">
        <v>20.45</v>
      </c>
      <c r="D84" s="1396">
        <v>10.199999999999999</v>
      </c>
      <c r="E84" s="1398">
        <v>30.65</v>
      </c>
      <c r="M84" s="1403">
        <v>11.8</v>
      </c>
      <c r="N84" s="1407">
        <v>3.9</v>
      </c>
      <c r="O84" s="1408">
        <v>7.6</v>
      </c>
      <c r="P84" s="1406">
        <v>12.1</v>
      </c>
      <c r="Q84" s="1295" t="s">
        <v>1677</v>
      </c>
    </row>
    <row r="85" spans="1:17" ht="15.75">
      <c r="A85" s="1295" t="s">
        <v>1677</v>
      </c>
      <c r="B85" s="1396">
        <v>41</v>
      </c>
      <c r="C85" s="1397">
        <v>22.55</v>
      </c>
      <c r="D85" s="1396">
        <v>11.25</v>
      </c>
      <c r="E85" s="1398">
        <v>33.799999999999997</v>
      </c>
      <c r="M85" s="1399">
        <v>11.65</v>
      </c>
      <c r="N85" s="1404">
        <v>3.85</v>
      </c>
      <c r="O85" s="1408">
        <v>7.5</v>
      </c>
      <c r="P85" s="1406">
        <v>12</v>
      </c>
      <c r="Q85" s="1295" t="s">
        <v>1678</v>
      </c>
    </row>
    <row r="86" spans="1:17" ht="15.75">
      <c r="A86" s="1295" t="s">
        <v>1678</v>
      </c>
      <c r="B86" s="1396">
        <v>44.85</v>
      </c>
      <c r="C86" s="1397">
        <v>24.65</v>
      </c>
      <c r="D86" s="1396">
        <v>12.3</v>
      </c>
      <c r="E86" s="1398">
        <v>36.950000000000003</v>
      </c>
      <c r="M86" s="1399">
        <v>11.95</v>
      </c>
      <c r="N86" s="1404">
        <v>3.95</v>
      </c>
      <c r="O86" s="1408">
        <v>7.6</v>
      </c>
      <c r="P86" s="1406">
        <v>12.3</v>
      </c>
      <c r="Q86" s="1295" t="s">
        <v>1679</v>
      </c>
    </row>
    <row r="87" spans="1:17" ht="15.75">
      <c r="A87" s="1295" t="s">
        <v>1679</v>
      </c>
      <c r="B87" s="1396">
        <v>48.65</v>
      </c>
      <c r="C87" s="1397">
        <v>26.75</v>
      </c>
      <c r="D87" s="1396">
        <v>13.35</v>
      </c>
      <c r="E87" s="1398">
        <v>40.1</v>
      </c>
      <c r="M87" s="1403">
        <v>12.3</v>
      </c>
      <c r="N87" s="1404">
        <v>4.05</v>
      </c>
      <c r="O87" s="1408">
        <v>7.9</v>
      </c>
      <c r="P87" s="1406">
        <v>12.6</v>
      </c>
      <c r="Q87" s="1295" t="s">
        <v>1680</v>
      </c>
    </row>
    <row r="88" spans="1:17" ht="12.75" customHeight="1">
      <c r="A88" s="1295" t="s">
        <v>1680</v>
      </c>
      <c r="B88" s="1396">
        <v>52.5</v>
      </c>
      <c r="C88" s="1397">
        <v>28.85</v>
      </c>
      <c r="D88" s="1396">
        <v>14.4</v>
      </c>
      <c r="E88" s="1398">
        <v>43.25</v>
      </c>
      <c r="M88" s="3342" t="s">
        <v>1681</v>
      </c>
      <c r="N88" s="3342"/>
      <c r="O88" s="3342"/>
      <c r="P88" s="3342"/>
      <c r="Q88" s="3342"/>
    </row>
    <row r="89" spans="1:17" ht="12.75" customHeight="1">
      <c r="A89" s="1409"/>
      <c r="B89" s="1410">
        <v>56.3</v>
      </c>
      <c r="C89" s="1411">
        <v>30.95</v>
      </c>
      <c r="D89" s="1410">
        <v>15.45</v>
      </c>
      <c r="E89" s="1412">
        <v>46.4</v>
      </c>
      <c r="M89" s="3342"/>
      <c r="N89" s="3342"/>
      <c r="O89" s="3342"/>
      <c r="P89" s="3342"/>
      <c r="Q89" s="3342"/>
    </row>
    <row r="90" spans="1:17" ht="12.75" customHeight="1">
      <c r="M90" s="3343" t="s">
        <v>1682</v>
      </c>
      <c r="N90" s="3343"/>
      <c r="O90" s="3343"/>
      <c r="P90" s="3343"/>
      <c r="Q90" s="3343"/>
    </row>
    <row r="91" spans="1:17" ht="15.75" customHeight="1">
      <c r="A91" s="3330" t="s">
        <v>1683</v>
      </c>
      <c r="B91" s="3330"/>
      <c r="C91" s="3330"/>
      <c r="M91" s="3343"/>
      <c r="N91" s="3343"/>
      <c r="O91" s="3343"/>
      <c r="P91" s="3343"/>
      <c r="Q91" s="3343"/>
    </row>
    <row r="92" spans="1:17" ht="15.75" customHeight="1">
      <c r="A92" s="3330"/>
      <c r="B92" s="3330"/>
      <c r="C92" s="3330"/>
      <c r="M92" s="3331" t="s">
        <v>1684</v>
      </c>
      <c r="N92" s="3331"/>
      <c r="O92" s="3331"/>
      <c r="P92" s="3331"/>
      <c r="Q92" s="3331"/>
    </row>
    <row r="93" spans="1:17" ht="16.5" customHeight="1">
      <c r="A93" s="1413" t="s">
        <v>1572</v>
      </c>
      <c r="B93" s="1414" t="s">
        <v>45</v>
      </c>
      <c r="C93" s="1415" t="s">
        <v>44</v>
      </c>
      <c r="M93" s="3331"/>
      <c r="N93" s="3331"/>
      <c r="O93" s="3331"/>
      <c r="P93" s="3331"/>
      <c r="Q93" s="3331"/>
    </row>
    <row r="94" spans="1:17" ht="16.5" customHeight="1">
      <c r="A94" s="1416" t="s">
        <v>3</v>
      </c>
      <c r="B94" s="1417"/>
      <c r="C94" s="1418"/>
      <c r="M94" s="3344" t="s">
        <v>1685</v>
      </c>
      <c r="N94" s="3344"/>
      <c r="O94" s="3344"/>
      <c r="P94" s="3344"/>
      <c r="Q94" s="3344"/>
    </row>
    <row r="95" spans="1:17" ht="16.5" customHeight="1">
      <c r="A95" s="1419" t="s">
        <v>1581</v>
      </c>
      <c r="B95" s="1420"/>
      <c r="C95" s="1421"/>
      <c r="M95" s="3345" t="s">
        <v>1686</v>
      </c>
      <c r="N95" s="3345"/>
      <c r="O95" s="3345"/>
      <c r="P95" s="3345"/>
      <c r="Q95" s="3345"/>
    </row>
    <row r="96" spans="1:17" ht="16.5">
      <c r="A96" s="1422" t="s">
        <v>1582</v>
      </c>
      <c r="B96" s="1423">
        <v>7.1</v>
      </c>
      <c r="C96" s="1424">
        <v>10.9</v>
      </c>
      <c r="M96" s="3345"/>
      <c r="N96" s="3345"/>
      <c r="O96" s="3345"/>
      <c r="P96" s="3345"/>
      <c r="Q96" s="3345"/>
    </row>
    <row r="97" spans="1:17" ht="16.5">
      <c r="A97" s="1422" t="s">
        <v>1584</v>
      </c>
      <c r="B97" s="1423">
        <v>13.5</v>
      </c>
      <c r="C97" s="1424">
        <v>43.1</v>
      </c>
      <c r="M97" s="3345"/>
      <c r="N97" s="3345"/>
      <c r="O97" s="3345"/>
      <c r="P97" s="3345"/>
      <c r="Q97" s="3345"/>
    </row>
    <row r="98" spans="1:17" ht="16.5" customHeight="1">
      <c r="A98" s="1422" t="s">
        <v>1586</v>
      </c>
      <c r="B98" s="1423">
        <v>19.600000000000001</v>
      </c>
      <c r="C98" s="1424">
        <v>74.8</v>
      </c>
      <c r="M98" s="3344" t="s">
        <v>1687</v>
      </c>
      <c r="N98" s="3344"/>
      <c r="O98" s="3344"/>
      <c r="P98" s="3344"/>
      <c r="Q98" s="3344"/>
    </row>
    <row r="99" spans="1:17" ht="16.5" customHeight="1">
      <c r="A99" s="1419" t="s">
        <v>1587</v>
      </c>
      <c r="B99" s="1420"/>
      <c r="C99" s="1421"/>
      <c r="M99" s="3344" t="s">
        <v>1688</v>
      </c>
      <c r="N99" s="3344"/>
      <c r="O99" s="3344"/>
      <c r="P99" s="3344"/>
      <c r="Q99" s="3344"/>
    </row>
    <row r="100" spans="1:17" ht="16.5">
      <c r="A100" s="1422" t="s">
        <v>1588</v>
      </c>
      <c r="B100" s="1423">
        <v>24.8</v>
      </c>
      <c r="C100" s="1424">
        <v>84.9</v>
      </c>
    </row>
    <row r="101" spans="1:17" ht="16.5">
      <c r="A101" s="1422" t="s">
        <v>1589</v>
      </c>
      <c r="B101" s="1423">
        <v>25.5</v>
      </c>
      <c r="C101" s="1424">
        <v>104.2</v>
      </c>
    </row>
    <row r="102" spans="1:17" ht="16.5">
      <c r="A102" s="1419" t="s">
        <v>1590</v>
      </c>
      <c r="B102" s="1420"/>
      <c r="C102" s="1421"/>
    </row>
    <row r="103" spans="1:17" ht="16.5">
      <c r="A103" s="1422" t="s">
        <v>1593</v>
      </c>
      <c r="B103" s="1423">
        <v>28.2</v>
      </c>
      <c r="C103" s="1424">
        <v>148.9</v>
      </c>
    </row>
    <row r="104" spans="1:17" ht="16.5">
      <c r="A104" s="1422" t="s">
        <v>1596</v>
      </c>
      <c r="B104" s="1423">
        <v>32.799999999999997</v>
      </c>
      <c r="C104" s="1424">
        <v>163.80000000000001</v>
      </c>
    </row>
    <row r="105" spans="1:17" ht="16.5">
      <c r="A105" s="1422" t="s">
        <v>1598</v>
      </c>
      <c r="B105" s="1423">
        <v>37.4</v>
      </c>
      <c r="C105" s="1424">
        <v>178.7</v>
      </c>
    </row>
    <row r="106" spans="1:17" ht="16.5">
      <c r="A106" s="1422" t="s">
        <v>1600</v>
      </c>
      <c r="B106" s="1423">
        <v>41.9</v>
      </c>
      <c r="C106" s="1424">
        <v>193.6</v>
      </c>
    </row>
    <row r="107" spans="1:17" ht="16.5">
      <c r="A107" s="1422" t="s">
        <v>1602</v>
      </c>
      <c r="B107" s="1423">
        <v>46.5</v>
      </c>
      <c r="C107" s="1424">
        <v>208.5</v>
      </c>
    </row>
    <row r="108" spans="1:17" ht="16.5">
      <c r="A108" s="1422" t="s">
        <v>1604</v>
      </c>
      <c r="B108" s="1423">
        <v>51.1</v>
      </c>
      <c r="C108" s="1424">
        <v>223.4</v>
      </c>
    </row>
    <row r="109" spans="1:17" ht="16.5">
      <c r="A109" s="1419" t="s">
        <v>1606</v>
      </c>
      <c r="B109" s="1420"/>
      <c r="C109" s="1421"/>
    </row>
    <row r="110" spans="1:17" ht="16.5">
      <c r="A110" s="1422" t="s">
        <v>1689</v>
      </c>
      <c r="B110" s="1423">
        <v>19</v>
      </c>
      <c r="C110" s="1424">
        <v>119.1</v>
      </c>
    </row>
    <row r="111" spans="1:17" ht="16.5">
      <c r="A111" s="1422" t="s">
        <v>1690</v>
      </c>
      <c r="B111" s="1423">
        <v>23.6</v>
      </c>
      <c r="C111" s="1424">
        <v>134</v>
      </c>
    </row>
    <row r="112" spans="1:17" ht="16.5">
      <c r="A112" s="1416" t="s">
        <v>191</v>
      </c>
      <c r="B112" s="1417"/>
      <c r="C112" s="1418"/>
    </row>
    <row r="113" spans="1:3" ht="16.5">
      <c r="A113" s="1419" t="s">
        <v>1609</v>
      </c>
      <c r="B113" s="1420"/>
      <c r="C113" s="1421"/>
    </row>
    <row r="114" spans="1:3" ht="33">
      <c r="A114" s="1425" t="s">
        <v>1691</v>
      </c>
      <c r="B114" s="1423">
        <v>2</v>
      </c>
      <c r="C114" s="1424">
        <v>2.1</v>
      </c>
    </row>
    <row r="115" spans="1:3" ht="33">
      <c r="A115" s="1425" t="s">
        <v>1692</v>
      </c>
      <c r="B115" s="1423">
        <v>1.4</v>
      </c>
      <c r="C115" s="1424">
        <v>2.1</v>
      </c>
    </row>
    <row r="116" spans="1:3" ht="16.5">
      <c r="A116" s="1419" t="s">
        <v>1693</v>
      </c>
      <c r="B116" s="1420"/>
      <c r="C116" s="1421"/>
    </row>
    <row r="117" spans="1:3" ht="33">
      <c r="A117" s="1425" t="s">
        <v>1694</v>
      </c>
      <c r="B117" s="1423">
        <v>4.4000000000000004</v>
      </c>
      <c r="C117" s="1424">
        <v>5</v>
      </c>
    </row>
    <row r="118" spans="1:3" ht="33">
      <c r="A118" s="1425" t="s">
        <v>1695</v>
      </c>
      <c r="B118" s="1423">
        <v>3.6</v>
      </c>
      <c r="C118" s="1424">
        <v>5</v>
      </c>
    </row>
    <row r="119" spans="1:3" ht="16.5">
      <c r="A119" s="1419" t="s">
        <v>1622</v>
      </c>
      <c r="B119" s="1420"/>
      <c r="C119" s="1421"/>
    </row>
    <row r="120" spans="1:3" ht="16.5">
      <c r="A120" s="1425" t="s">
        <v>1696</v>
      </c>
      <c r="B120" s="1423">
        <v>10.6</v>
      </c>
      <c r="C120" s="1424">
        <v>6.8</v>
      </c>
    </row>
    <row r="121" spans="1:3" ht="16.5">
      <c r="A121" s="1425" t="s">
        <v>1697</v>
      </c>
      <c r="B121" s="1423">
        <v>9</v>
      </c>
      <c r="C121" s="1424">
        <v>6.8</v>
      </c>
    </row>
    <row r="122" spans="1:3" ht="16.5">
      <c r="A122" s="1419" t="s">
        <v>1625</v>
      </c>
      <c r="B122" s="1420"/>
      <c r="C122" s="1421"/>
    </row>
    <row r="123" spans="1:3" ht="16.5">
      <c r="A123" s="1425" t="s">
        <v>1698</v>
      </c>
      <c r="B123" s="1423">
        <v>12.3</v>
      </c>
      <c r="C123" s="1424">
        <v>6.8</v>
      </c>
    </row>
    <row r="124" spans="1:3" ht="16.5">
      <c r="A124" s="1425" t="s">
        <v>1699</v>
      </c>
      <c r="B124" s="1423">
        <v>10.7</v>
      </c>
      <c r="C124" s="1424">
        <v>6.8</v>
      </c>
    </row>
    <row r="125" spans="1:3" ht="16.5">
      <c r="A125" s="1426" t="s">
        <v>258</v>
      </c>
      <c r="B125" s="1427"/>
      <c r="C125" s="1427"/>
    </row>
    <row r="126" spans="1:3" ht="16.5">
      <c r="A126" s="1425" t="s">
        <v>1700</v>
      </c>
      <c r="B126" s="1423">
        <v>0.17</v>
      </c>
      <c r="C126" s="1424">
        <v>0.13</v>
      </c>
    </row>
    <row r="127" spans="1:3" ht="16.5">
      <c r="A127" s="1425" t="s">
        <v>1631</v>
      </c>
      <c r="B127" s="1423">
        <v>0.45</v>
      </c>
      <c r="C127" s="1424">
        <v>0.33</v>
      </c>
    </row>
    <row r="128" spans="1:3" ht="16.5">
      <c r="A128" s="1425" t="s">
        <v>1701</v>
      </c>
      <c r="B128" s="1423">
        <v>0.12</v>
      </c>
      <c r="C128" s="1428">
        <v>0.1</v>
      </c>
    </row>
    <row r="129" spans="1:3" ht="16.5">
      <c r="A129" s="1425" t="s">
        <v>271</v>
      </c>
      <c r="B129" s="1423">
        <v>0.09</v>
      </c>
      <c r="C129" s="1424">
        <v>7.0000000000000007E-2</v>
      </c>
    </row>
    <row r="130" spans="1:3" ht="16.5">
      <c r="A130" s="1425" t="s">
        <v>273</v>
      </c>
      <c r="B130" s="1423">
        <v>0.25</v>
      </c>
      <c r="C130" s="1428">
        <v>0.2</v>
      </c>
    </row>
    <row r="131" spans="1:3" ht="16.5">
      <c r="A131" s="1425" t="s">
        <v>274</v>
      </c>
      <c r="B131" s="1423">
        <v>0.25</v>
      </c>
      <c r="C131" s="1428">
        <v>0.2</v>
      </c>
    </row>
    <row r="132" spans="1:3" ht="16.5">
      <c r="A132" s="1429" t="s">
        <v>1635</v>
      </c>
      <c r="B132" s="1430">
        <v>0.60000000000000009</v>
      </c>
      <c r="C132" s="1431">
        <v>0.48</v>
      </c>
    </row>
    <row r="133" spans="1:3" ht="33.75" customHeight="1">
      <c r="A133" s="3346" t="s">
        <v>350</v>
      </c>
      <c r="B133" s="3346"/>
      <c r="C133" s="3346"/>
    </row>
    <row r="134" spans="1:3" ht="19.5" customHeight="1">
      <c r="A134" s="1432" t="s">
        <v>760</v>
      </c>
      <c r="B134" s="1433"/>
      <c r="C134" s="1434"/>
    </row>
    <row r="135" spans="1:3" ht="16.5">
      <c r="A135" s="1419" t="s">
        <v>1702</v>
      </c>
      <c r="B135" s="1420"/>
      <c r="C135" s="1421"/>
    </row>
    <row r="136" spans="1:3" ht="16.5">
      <c r="A136" s="1419" t="s">
        <v>1703</v>
      </c>
      <c r="B136" s="1420"/>
      <c r="C136" s="1421"/>
    </row>
    <row r="137" spans="1:3" ht="16.5">
      <c r="A137" s="1425" t="s">
        <v>1639</v>
      </c>
      <c r="B137" s="1423">
        <v>4.5</v>
      </c>
      <c r="C137" s="1424">
        <v>8.9</v>
      </c>
    </row>
    <row r="138" spans="1:3" ht="16.5">
      <c r="A138" s="1425" t="s">
        <v>1640</v>
      </c>
      <c r="B138" s="1423">
        <v>5.3</v>
      </c>
      <c r="C138" s="1424">
        <v>10.5</v>
      </c>
    </row>
    <row r="139" spans="1:3" ht="16.5">
      <c r="A139" s="1419" t="s">
        <v>1704</v>
      </c>
      <c r="B139" s="1420"/>
      <c r="C139" s="1421"/>
    </row>
    <row r="140" spans="1:3" ht="16.5">
      <c r="A140" s="1419" t="s">
        <v>1705</v>
      </c>
      <c r="B140" s="1420"/>
      <c r="C140" s="1421"/>
    </row>
    <row r="141" spans="1:3" ht="16.5">
      <c r="A141" s="1425" t="s">
        <v>1639</v>
      </c>
      <c r="B141" s="1423">
        <v>8.6999999999999993</v>
      </c>
      <c r="C141" s="1424">
        <v>17.399999999999999</v>
      </c>
    </row>
    <row r="142" spans="1:3" ht="16.5">
      <c r="A142" s="1422" t="s">
        <v>1640</v>
      </c>
      <c r="B142" s="1423">
        <v>10.3</v>
      </c>
      <c r="C142" s="1424">
        <v>20.5</v>
      </c>
    </row>
    <row r="143" spans="1:3" ht="16.5">
      <c r="A143" s="1419" t="s">
        <v>760</v>
      </c>
      <c r="B143" s="1420"/>
      <c r="C143" s="1421"/>
    </row>
    <row r="144" spans="1:3" ht="16.5">
      <c r="A144" s="1419" t="s">
        <v>1706</v>
      </c>
      <c r="B144" s="1420"/>
      <c r="C144" s="1421"/>
    </row>
    <row r="145" spans="1:3" ht="16.5">
      <c r="A145" s="1422" t="s">
        <v>1639</v>
      </c>
      <c r="B145" s="1423">
        <v>15.6</v>
      </c>
      <c r="C145" s="1424">
        <v>31.2</v>
      </c>
    </row>
    <row r="146" spans="1:3" ht="16.5">
      <c r="A146" s="1422" t="s">
        <v>1640</v>
      </c>
      <c r="B146" s="1423">
        <v>18.399999999999999</v>
      </c>
      <c r="C146" s="1424">
        <v>36.799999999999997</v>
      </c>
    </row>
    <row r="147" spans="1:3" ht="16.5">
      <c r="A147" s="1416" t="s">
        <v>1645</v>
      </c>
      <c r="B147" s="1417"/>
      <c r="C147" s="1418"/>
    </row>
    <row r="148" spans="1:3" ht="16.5">
      <c r="A148" s="1422" t="s">
        <v>1647</v>
      </c>
      <c r="B148" s="1423">
        <v>2</v>
      </c>
      <c r="C148" s="1424">
        <v>5.7</v>
      </c>
    </row>
    <row r="149" spans="1:3" ht="16.5">
      <c r="A149" s="1422" t="s">
        <v>1648</v>
      </c>
      <c r="B149" s="1423">
        <v>3.4</v>
      </c>
      <c r="C149" s="1424">
        <v>15.5</v>
      </c>
    </row>
    <row r="150" spans="1:3" ht="16.5">
      <c r="A150" s="1422" t="s">
        <v>288</v>
      </c>
      <c r="B150" s="1423">
        <v>4</v>
      </c>
      <c r="C150" s="1424">
        <v>17.5</v>
      </c>
    </row>
    <row r="151" spans="1:3" ht="16.5">
      <c r="A151" s="1416" t="s">
        <v>1650</v>
      </c>
      <c r="B151" s="1417"/>
      <c r="C151" s="1418"/>
    </row>
    <row r="152" spans="1:3" ht="16.5">
      <c r="A152" s="1422" t="s">
        <v>1651</v>
      </c>
      <c r="B152" s="1423">
        <v>2.2000000000000002</v>
      </c>
      <c r="C152" s="1424">
        <v>7.9</v>
      </c>
    </row>
    <row r="153" spans="1:3" ht="16.5">
      <c r="A153" s="1422" t="s">
        <v>1648</v>
      </c>
      <c r="B153" s="1423">
        <v>3.7</v>
      </c>
      <c r="C153" s="1424">
        <v>13.3</v>
      </c>
    </row>
    <row r="154" spans="1:3" ht="16.5">
      <c r="A154" s="1422" t="s">
        <v>291</v>
      </c>
      <c r="B154" s="1423">
        <v>4.5999999999999996</v>
      </c>
      <c r="C154" s="1424">
        <v>15.2</v>
      </c>
    </row>
    <row r="155" spans="1:3" ht="16.5">
      <c r="B155" s="1435"/>
      <c r="C155" s="1435"/>
    </row>
    <row r="156" spans="1:3" ht="16.5">
      <c r="A156" s="1416" t="s">
        <v>1653</v>
      </c>
      <c r="B156" s="1417"/>
      <c r="C156" s="1418"/>
    </row>
    <row r="157" spans="1:3">
      <c r="A157" s="1295" t="s">
        <v>1654</v>
      </c>
      <c r="B157" s="1436">
        <v>5.2</v>
      </c>
      <c r="C157" s="1436">
        <v>23</v>
      </c>
    </row>
    <row r="158" spans="1:3">
      <c r="A158" s="1295" t="s">
        <v>1655</v>
      </c>
      <c r="B158" s="1436">
        <v>3.7</v>
      </c>
      <c r="C158" s="1436">
        <v>16.100000000000001</v>
      </c>
    </row>
    <row r="159" spans="1:3" ht="16.5">
      <c r="A159" s="1416" t="s">
        <v>1656</v>
      </c>
      <c r="B159" s="1417"/>
      <c r="C159" s="1418"/>
    </row>
    <row r="160" spans="1:3">
      <c r="A160" s="1295" t="s">
        <v>1654</v>
      </c>
      <c r="B160" s="1436">
        <v>10.9</v>
      </c>
      <c r="C160" s="1436">
        <v>47.5</v>
      </c>
    </row>
    <row r="161" spans="1:3">
      <c r="A161" s="1295" t="s">
        <v>1657</v>
      </c>
      <c r="B161" s="1436">
        <v>8.8000000000000007</v>
      </c>
      <c r="C161" s="1436">
        <v>38.6</v>
      </c>
    </row>
    <row r="162" spans="1:3" ht="16.5">
      <c r="A162" s="1416" t="s">
        <v>1658</v>
      </c>
      <c r="B162" s="1417"/>
      <c r="C162" s="1418"/>
    </row>
    <row r="163" spans="1:3">
      <c r="A163" s="1295" t="s">
        <v>1659</v>
      </c>
      <c r="B163" s="1436">
        <v>1</v>
      </c>
      <c r="C163" s="1436">
        <v>0.8</v>
      </c>
    </row>
    <row r="164" spans="1:3">
      <c r="A164" s="1295" t="s">
        <v>1661</v>
      </c>
      <c r="B164" s="1436">
        <v>2.1</v>
      </c>
      <c r="C164" s="1436">
        <v>1.6</v>
      </c>
    </row>
    <row r="165" spans="1:3" ht="16.5">
      <c r="A165" s="1416" t="s">
        <v>1662</v>
      </c>
      <c r="B165" s="1417"/>
      <c r="C165" s="1418"/>
    </row>
    <row r="166" spans="1:3">
      <c r="A166" s="1295" t="s">
        <v>1663</v>
      </c>
      <c r="B166" s="1437">
        <v>1.0638000000000001</v>
      </c>
      <c r="C166" s="1437">
        <v>1.0638000000000001</v>
      </c>
    </row>
    <row r="167" spans="1:3">
      <c r="A167" s="1295" t="s">
        <v>1664</v>
      </c>
      <c r="B167" s="1437">
        <v>2.7312000000000003</v>
      </c>
      <c r="C167" s="1437">
        <v>2.7312000000000003</v>
      </c>
    </row>
    <row r="168" spans="1:3">
      <c r="A168" s="1295" t="s">
        <v>1665</v>
      </c>
      <c r="B168" s="1437">
        <v>3.5171999999999999</v>
      </c>
      <c r="C168" s="1437">
        <v>3.5171999999999999</v>
      </c>
    </row>
    <row r="169" spans="1:3">
      <c r="A169" s="1295" t="s">
        <v>1666</v>
      </c>
      <c r="B169" s="1437">
        <v>4.2012</v>
      </c>
      <c r="C169" s="1437">
        <v>4.2012</v>
      </c>
    </row>
    <row r="170" spans="1:3" ht="16.5">
      <c r="A170" s="1416" t="s">
        <v>1667</v>
      </c>
      <c r="B170" s="1417"/>
      <c r="C170" s="1418"/>
    </row>
    <row r="171" spans="1:3" ht="25.5">
      <c r="A171" s="1295" t="s">
        <v>1668</v>
      </c>
      <c r="B171" s="1436">
        <v>3.55</v>
      </c>
      <c r="C171" s="1436">
        <v>5.45</v>
      </c>
    </row>
    <row r="172" spans="1:3">
      <c r="A172" s="1295" t="s">
        <v>1669</v>
      </c>
      <c r="B172" s="1436">
        <v>6.75</v>
      </c>
      <c r="C172" s="1436">
        <v>21.55</v>
      </c>
    </row>
    <row r="173" spans="1:3">
      <c r="A173" s="1295" t="s">
        <v>1670</v>
      </c>
      <c r="B173" s="1438">
        <v>9.8000000000000007</v>
      </c>
      <c r="C173" s="1436">
        <v>37.4</v>
      </c>
    </row>
    <row r="174" spans="1:3">
      <c r="A174" s="1295" t="s">
        <v>1671</v>
      </c>
      <c r="B174" s="1436">
        <v>12.4</v>
      </c>
      <c r="C174" s="1436">
        <v>42.45</v>
      </c>
    </row>
    <row r="175" spans="1:3">
      <c r="A175" s="1295" t="s">
        <v>1672</v>
      </c>
      <c r="B175" s="1436">
        <v>12.75</v>
      </c>
      <c r="C175" s="1436">
        <v>52.1</v>
      </c>
    </row>
    <row r="176" spans="1:3">
      <c r="A176" s="1295" t="s">
        <v>1673</v>
      </c>
      <c r="B176" s="1436">
        <v>9.5</v>
      </c>
      <c r="C176" s="1436">
        <v>59.55</v>
      </c>
    </row>
    <row r="177" spans="1:3">
      <c r="A177" s="1295" t="s">
        <v>1675</v>
      </c>
      <c r="B177" s="1436">
        <v>11.8</v>
      </c>
      <c r="C177" s="1439">
        <v>67</v>
      </c>
    </row>
    <row r="178" spans="1:3">
      <c r="A178" s="1295" t="s">
        <v>1676</v>
      </c>
      <c r="B178" s="1436">
        <v>14.1</v>
      </c>
      <c r="C178" s="1436">
        <v>74.45</v>
      </c>
    </row>
    <row r="179" spans="1:3">
      <c r="A179" s="1295" t="s">
        <v>1677</v>
      </c>
      <c r="B179" s="1436">
        <v>16.399999999999999</v>
      </c>
      <c r="C179" s="1436">
        <v>81.900000000000006</v>
      </c>
    </row>
    <row r="180" spans="1:3">
      <c r="A180" s="1295" t="s">
        <v>1678</v>
      </c>
      <c r="B180" s="1436">
        <v>18.7</v>
      </c>
      <c r="C180" s="1436">
        <v>89.35</v>
      </c>
    </row>
    <row r="181" spans="1:3">
      <c r="A181" s="1295" t="s">
        <v>1679</v>
      </c>
      <c r="B181" s="1436">
        <v>20.95</v>
      </c>
      <c r="C181" s="1436">
        <v>96.8</v>
      </c>
    </row>
    <row r="182" spans="1:3">
      <c r="A182" s="1295" t="s">
        <v>1680</v>
      </c>
      <c r="B182" s="1436">
        <v>23.25</v>
      </c>
      <c r="C182" s="1436">
        <v>104.25</v>
      </c>
    </row>
  </sheetData>
  <sheetProtection sheet="1" objects="1" scenarios="1" formatCells="0"/>
  <mergeCells count="18">
    <mergeCell ref="M94:Q94"/>
    <mergeCell ref="M95:Q97"/>
    <mergeCell ref="M98:Q98"/>
    <mergeCell ref="M99:Q99"/>
    <mergeCell ref="A133:C133"/>
    <mergeCell ref="A91:C92"/>
    <mergeCell ref="M92:Q93"/>
    <mergeCell ref="A1:E1"/>
    <mergeCell ref="H1:K1"/>
    <mergeCell ref="M1:Q1"/>
    <mergeCell ref="F2:G2"/>
    <mergeCell ref="F4:G5"/>
    <mergeCell ref="F7:G8"/>
    <mergeCell ref="F11:G12"/>
    <mergeCell ref="F37:G37"/>
    <mergeCell ref="F53:G54"/>
    <mergeCell ref="M88:Q89"/>
    <mergeCell ref="M90:Q91"/>
  </mergeCells>
  <hyperlinks>
    <hyperlink ref="F1" location="Schw_Geflügel!A1" display="◄"/>
    <hyperlink ref="G1" location="'Dü-Verbote'!A1" display="  ►"/>
  </hyperlinks>
  <pageMargins left="0.39370078740157483" right="0.39370078740157483" top="0.47244094488188981" bottom="0.47244094488188981" header="0.15748031496062992" footer="0.31496062992125984"/>
  <pageSetup paperSize="9" scale="75" firstPageNumber="0"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39"/>
  <sheetViews>
    <sheetView zoomScale="80" zoomScaleNormal="80" zoomScalePageLayoutView="80" workbookViewId="0">
      <selection sqref="A1:D1"/>
    </sheetView>
  </sheetViews>
  <sheetFormatPr baseColWidth="10" defaultRowHeight="12.75"/>
  <cols>
    <col min="1" max="1" width="38.140625" customWidth="1"/>
    <col min="2" max="2" width="39.28515625" customWidth="1"/>
    <col min="3" max="3" width="27.42578125" customWidth="1"/>
    <col min="4" max="4" width="22.140625" customWidth="1"/>
    <col min="5" max="5" width="16.28515625" customWidth="1"/>
  </cols>
  <sheetData>
    <row r="1" spans="1:5" ht="30.75" customHeight="1">
      <c r="A1" s="3367" t="s">
        <v>1837</v>
      </c>
      <c r="B1" s="3368"/>
      <c r="C1" s="3368"/>
      <c r="D1" s="3369"/>
      <c r="E1" s="1857" t="s">
        <v>413</v>
      </c>
    </row>
    <row r="2" spans="1:5" ht="56.25" customHeight="1">
      <c r="A2" s="3372" t="s">
        <v>1830</v>
      </c>
      <c r="B2" s="3372"/>
      <c r="C2" s="3372"/>
      <c r="D2" s="3372"/>
    </row>
    <row r="3" spans="1:5" ht="39.75" customHeight="1">
      <c r="A3" s="3372" t="s">
        <v>1831</v>
      </c>
      <c r="B3" s="3372"/>
      <c r="C3" s="3372"/>
      <c r="D3" s="3372"/>
    </row>
    <row r="5" spans="1:5" ht="36.75" customHeight="1">
      <c r="A5" s="1852" t="s">
        <v>1473</v>
      </c>
      <c r="B5" s="1852" t="s">
        <v>1788</v>
      </c>
      <c r="C5" s="1855" t="s">
        <v>1834</v>
      </c>
      <c r="D5" s="1853" t="s">
        <v>1836</v>
      </c>
    </row>
    <row r="6" spans="1:5" ht="36" customHeight="1">
      <c r="A6" s="1835" t="s">
        <v>955</v>
      </c>
      <c r="B6" s="1836" t="s">
        <v>1789</v>
      </c>
      <c r="C6" s="3354" t="s">
        <v>1790</v>
      </c>
      <c r="D6" s="3354"/>
    </row>
    <row r="7" spans="1:5" ht="36" customHeight="1">
      <c r="A7" s="1835" t="s">
        <v>1791</v>
      </c>
      <c r="B7" s="1836" t="s">
        <v>1792</v>
      </c>
      <c r="C7" s="1854" t="s">
        <v>1790</v>
      </c>
      <c r="D7" s="1856" t="s">
        <v>1832</v>
      </c>
    </row>
    <row r="8" spans="1:5" ht="48" customHeight="1">
      <c r="A8" s="1836" t="s">
        <v>1813</v>
      </c>
      <c r="B8" s="1836" t="s">
        <v>1792</v>
      </c>
      <c r="C8" s="1854" t="s">
        <v>1793</v>
      </c>
      <c r="D8" s="1856" t="s">
        <v>1794</v>
      </c>
    </row>
    <row r="9" spans="1:5" ht="36" customHeight="1">
      <c r="A9" s="1836" t="s">
        <v>2066</v>
      </c>
      <c r="B9" s="1836" t="s">
        <v>1792</v>
      </c>
      <c r="C9" s="1854" t="s">
        <v>1795</v>
      </c>
      <c r="D9" s="1856" t="s">
        <v>1796</v>
      </c>
    </row>
    <row r="10" spans="1:5" ht="36" customHeight="1">
      <c r="A10" s="1835" t="s">
        <v>950</v>
      </c>
      <c r="B10" s="1836" t="s">
        <v>1792</v>
      </c>
      <c r="C10" s="1854" t="s">
        <v>1797</v>
      </c>
      <c r="D10" s="1856" t="s">
        <v>1798</v>
      </c>
    </row>
    <row r="11" spans="1:5" ht="36" customHeight="1">
      <c r="A11" s="1835" t="s">
        <v>1799</v>
      </c>
      <c r="B11" s="1836" t="s">
        <v>1792</v>
      </c>
      <c r="C11" s="1854" t="s">
        <v>1797</v>
      </c>
      <c r="D11" s="1930" t="s">
        <v>1800</v>
      </c>
    </row>
    <row r="12" spans="1:5" ht="44.25" customHeight="1">
      <c r="A12" s="3373" t="s">
        <v>1801</v>
      </c>
      <c r="B12" s="3373"/>
      <c r="C12" s="3373"/>
      <c r="D12" s="3373"/>
    </row>
    <row r="13" spans="1:5" ht="42" customHeight="1">
      <c r="A13" s="1837" t="s">
        <v>1473</v>
      </c>
      <c r="B13" s="1837" t="s">
        <v>1788</v>
      </c>
      <c r="C13" s="1853" t="s">
        <v>1834</v>
      </c>
      <c r="D13" s="1853" t="s">
        <v>1835</v>
      </c>
    </row>
    <row r="14" spans="1:5" ht="29.25" customHeight="1">
      <c r="A14" s="1836" t="s">
        <v>955</v>
      </c>
      <c r="B14" s="1836" t="s">
        <v>1802</v>
      </c>
      <c r="C14" s="3354" t="s">
        <v>1803</v>
      </c>
      <c r="D14" s="3354"/>
    </row>
    <row r="15" spans="1:5" ht="29.25" customHeight="1">
      <c r="A15" s="1836" t="s">
        <v>1791</v>
      </c>
      <c r="B15" s="1836" t="s">
        <v>1802</v>
      </c>
      <c r="C15" s="3354" t="s">
        <v>1803</v>
      </c>
      <c r="D15" s="3354"/>
    </row>
    <row r="16" spans="1:5" ht="29.25" customHeight="1">
      <c r="A16" s="1838" t="s">
        <v>1804</v>
      </c>
      <c r="B16" s="1836" t="s">
        <v>1802</v>
      </c>
      <c r="C16" s="3354" t="s">
        <v>1805</v>
      </c>
      <c r="D16" s="3354"/>
    </row>
    <row r="17" spans="1:7" ht="33" customHeight="1">
      <c r="A17" s="1836" t="s">
        <v>1806</v>
      </c>
      <c r="B17" s="1836" t="s">
        <v>1802</v>
      </c>
      <c r="C17" s="3354" t="s">
        <v>1805</v>
      </c>
      <c r="D17" s="3354"/>
    </row>
    <row r="18" spans="1:7" ht="29.25" customHeight="1">
      <c r="A18" s="1836" t="s">
        <v>950</v>
      </c>
      <c r="B18" s="1836" t="s">
        <v>1802</v>
      </c>
      <c r="C18" s="3354" t="s">
        <v>1803</v>
      </c>
      <c r="D18" s="3354"/>
    </row>
    <row r="19" spans="1:7" ht="29.25" customHeight="1">
      <c r="A19" s="1836" t="s">
        <v>1799</v>
      </c>
      <c r="B19" s="1836" t="s">
        <v>1802</v>
      </c>
      <c r="C19" s="3354" t="s">
        <v>1803</v>
      </c>
      <c r="D19" s="3354"/>
    </row>
    <row r="20" spans="1:7" ht="29.25" customHeight="1">
      <c r="A20" s="1836" t="s">
        <v>1791</v>
      </c>
      <c r="B20" s="1836" t="s">
        <v>1807</v>
      </c>
      <c r="C20" s="1854" t="s">
        <v>1790</v>
      </c>
      <c r="D20" s="1856" t="s">
        <v>1832</v>
      </c>
    </row>
    <row r="21" spans="1:7" ht="35.25" customHeight="1">
      <c r="A21" s="1836" t="s">
        <v>1791</v>
      </c>
      <c r="B21" s="1836" t="s">
        <v>1808</v>
      </c>
      <c r="C21" s="1854" t="s">
        <v>1803</v>
      </c>
      <c r="D21" s="1856" t="s">
        <v>1832</v>
      </c>
    </row>
    <row r="22" spans="1:7" ht="35.25" customHeight="1">
      <c r="A22" s="1838" t="s">
        <v>1804</v>
      </c>
      <c r="B22" s="1836" t="s">
        <v>1807</v>
      </c>
      <c r="C22" s="1854" t="s">
        <v>1793</v>
      </c>
      <c r="D22" s="1856" t="s">
        <v>1809</v>
      </c>
    </row>
    <row r="23" spans="1:7" ht="35.25" customHeight="1">
      <c r="A23" s="1838" t="s">
        <v>1804</v>
      </c>
      <c r="B23" s="1836" t="s">
        <v>1808</v>
      </c>
      <c r="C23" s="1854" t="s">
        <v>1805</v>
      </c>
      <c r="D23" s="1856" t="s">
        <v>1809</v>
      </c>
    </row>
    <row r="24" spans="1:7" ht="35.25" customHeight="1">
      <c r="A24" s="1836" t="s">
        <v>2067</v>
      </c>
      <c r="B24" s="1836" t="s">
        <v>1807</v>
      </c>
      <c r="C24" s="1854" t="s">
        <v>1795</v>
      </c>
      <c r="D24" s="1856" t="s">
        <v>1833</v>
      </c>
    </row>
    <row r="25" spans="1:7" ht="35.25" customHeight="1">
      <c r="A25" s="1836" t="s">
        <v>2068</v>
      </c>
      <c r="B25" s="1836" t="s">
        <v>1808</v>
      </c>
      <c r="C25" s="1854" t="s">
        <v>1805</v>
      </c>
      <c r="D25" s="1856" t="s">
        <v>1833</v>
      </c>
    </row>
    <row r="26" spans="1:7" ht="29.25" customHeight="1">
      <c r="A26" s="1836" t="s">
        <v>950</v>
      </c>
      <c r="B26" s="1836" t="s">
        <v>1807</v>
      </c>
      <c r="C26" s="1854" t="s">
        <v>1797</v>
      </c>
      <c r="D26" s="1856" t="s">
        <v>1810</v>
      </c>
    </row>
    <row r="27" spans="1:7" ht="35.25" customHeight="1">
      <c r="A27" s="1836" t="s">
        <v>950</v>
      </c>
      <c r="B27" s="1836" t="s">
        <v>1808</v>
      </c>
      <c r="C27" s="1854" t="s">
        <v>1803</v>
      </c>
      <c r="D27" s="1856" t="s">
        <v>1810</v>
      </c>
    </row>
    <row r="28" spans="1:7" ht="35.25" customHeight="1">
      <c r="A28" s="1836" t="s">
        <v>1799</v>
      </c>
      <c r="B28" s="1836" t="s">
        <v>1807</v>
      </c>
      <c r="C28" s="1854" t="s">
        <v>1797</v>
      </c>
      <c r="D28" s="1856" t="s">
        <v>1832</v>
      </c>
    </row>
    <row r="29" spans="1:7" ht="35.25" customHeight="1">
      <c r="A29" s="1836" t="s">
        <v>1799</v>
      </c>
      <c r="B29" s="1836" t="s">
        <v>1808</v>
      </c>
      <c r="C29" s="1854" t="s">
        <v>1803</v>
      </c>
      <c r="D29" s="1856" t="s">
        <v>1832</v>
      </c>
    </row>
    <row r="30" spans="1:7" ht="30.75" customHeight="1"/>
    <row r="31" spans="1:7" ht="30" customHeight="1">
      <c r="A31" s="3355" t="s">
        <v>1811</v>
      </c>
      <c r="B31" s="3355"/>
      <c r="C31" s="3356" t="s">
        <v>1812</v>
      </c>
      <c r="D31" s="3357"/>
    </row>
    <row r="32" spans="1:7" ht="165.75" customHeight="1">
      <c r="A32" s="3350" t="s">
        <v>1828</v>
      </c>
      <c r="B32" s="3351"/>
      <c r="C32" s="3352" t="s">
        <v>1827</v>
      </c>
      <c r="D32" s="3353"/>
      <c r="G32" s="2"/>
    </row>
    <row r="34" spans="1:20" ht="29.25" customHeight="1">
      <c r="A34" s="3361" t="s">
        <v>1707</v>
      </c>
      <c r="B34" s="3362"/>
      <c r="C34" s="3362"/>
      <c r="D34" s="3363"/>
      <c r="K34" s="1440"/>
      <c r="L34" s="1440"/>
      <c r="M34" s="1440"/>
      <c r="N34" s="1440"/>
      <c r="O34" s="1440"/>
      <c r="P34" s="1440"/>
      <c r="Q34" s="1440"/>
      <c r="R34" s="1440"/>
    </row>
    <row r="35" spans="1:20" ht="24" customHeight="1">
      <c r="A35" s="3364" t="s">
        <v>1708</v>
      </c>
      <c r="B35" s="3365"/>
      <c r="C35" s="3365"/>
      <c r="D35" s="3366"/>
      <c r="L35" s="1441"/>
      <c r="M35" s="1441"/>
      <c r="N35" s="1441"/>
      <c r="O35" s="1441"/>
      <c r="P35" s="1441"/>
      <c r="Q35" s="1441"/>
      <c r="R35" s="1441"/>
      <c r="S35" s="1441"/>
    </row>
    <row r="36" spans="1:20" ht="33.75" customHeight="1">
      <c r="A36" s="3358" t="s">
        <v>1829</v>
      </c>
      <c r="B36" s="3370"/>
      <c r="C36" s="3370"/>
      <c r="D36" s="3371"/>
      <c r="E36" s="1442"/>
      <c r="F36" s="1442"/>
      <c r="G36" s="1442"/>
      <c r="H36" s="1442"/>
      <c r="I36" s="1442"/>
      <c r="J36" s="1442"/>
      <c r="K36" s="1442"/>
      <c r="L36" s="1442"/>
      <c r="M36" s="1442"/>
      <c r="N36" s="1442"/>
      <c r="O36" s="1442"/>
      <c r="P36" s="1442"/>
      <c r="Q36" s="1442"/>
      <c r="R36" s="1442"/>
      <c r="S36" s="1442"/>
    </row>
    <row r="37" spans="1:20" ht="48.75" customHeight="1">
      <c r="A37" s="3358" t="s">
        <v>1859</v>
      </c>
      <c r="B37" s="3359"/>
      <c r="C37" s="3359"/>
      <c r="D37" s="3360"/>
      <c r="E37" s="1442"/>
      <c r="F37" s="1442"/>
      <c r="G37" s="1442"/>
      <c r="H37" s="1442"/>
      <c r="I37" s="1442"/>
      <c r="J37" s="1442"/>
      <c r="K37" s="1442"/>
      <c r="L37" s="1442"/>
      <c r="M37" s="1442"/>
      <c r="N37" s="1442"/>
      <c r="O37" s="1442"/>
      <c r="P37" s="1443"/>
      <c r="Q37" s="1443"/>
      <c r="R37" s="1443"/>
      <c r="S37" s="1443"/>
    </row>
    <row r="38" spans="1:20" ht="93" customHeight="1">
      <c r="A38" s="3347" t="s">
        <v>1860</v>
      </c>
      <c r="B38" s="3348"/>
      <c r="C38" s="3348"/>
      <c r="D38" s="3349"/>
      <c r="E38" s="1443"/>
      <c r="F38" s="1443"/>
      <c r="G38" s="1443"/>
      <c r="H38" s="1443"/>
      <c r="I38" s="1443"/>
      <c r="J38" s="1443"/>
      <c r="K38" s="1443"/>
      <c r="L38" s="1443"/>
      <c r="M38" s="1443"/>
      <c r="N38" s="1443"/>
      <c r="O38" s="1443"/>
      <c r="P38" s="1443"/>
      <c r="Q38" s="1443"/>
      <c r="R38" s="1443"/>
      <c r="S38" s="1443"/>
      <c r="T38" s="1443"/>
    </row>
    <row r="39" spans="1:20" ht="75" customHeight="1"/>
  </sheetData>
  <sheetProtection sheet="1" objects="1" scenarios="1" formatCells="0" formatColumns="0" formatRows="0"/>
  <mergeCells count="20">
    <mergeCell ref="A1:D1"/>
    <mergeCell ref="A36:D36"/>
    <mergeCell ref="C15:D15"/>
    <mergeCell ref="A2:D2"/>
    <mergeCell ref="A3:D3"/>
    <mergeCell ref="C6:D6"/>
    <mergeCell ref="A12:D12"/>
    <mergeCell ref="C14:D14"/>
    <mergeCell ref="A38:D38"/>
    <mergeCell ref="A32:B32"/>
    <mergeCell ref="C32:D32"/>
    <mergeCell ref="C16:D16"/>
    <mergeCell ref="C17:D17"/>
    <mergeCell ref="C18:D18"/>
    <mergeCell ref="C19:D19"/>
    <mergeCell ref="A31:B31"/>
    <mergeCell ref="C31:D31"/>
    <mergeCell ref="A37:D37"/>
    <mergeCell ref="A34:D34"/>
    <mergeCell ref="A35:D35"/>
  </mergeCells>
  <hyperlinks>
    <hyperlink ref="E1" location="Tierzahlen!A1" display="◄"/>
  </hyperlinks>
  <pageMargins left="0.39370078740157483" right="0.35433070866141736" top="0.55118110236220474" bottom="0.51181102362204722" header="0.31496062992125984" footer="0.31496062992125984"/>
  <pageSetup paperSize="9" scale="77" fitToHeight="2" orientation="portrait" blackAndWhite="1"/>
  <rowBreaks count="1" manualBreakCount="1">
    <brk id="29" max="16383" man="1"/>
  </rowBreaks>
  <colBreaks count="1" manualBreakCount="1">
    <brk id="4" max="1048575" man="1"/>
  </col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67"/>
  <sheetViews>
    <sheetView zoomScale="85" zoomScaleNormal="85" workbookViewId="0">
      <selection activeCell="U71" sqref="U71"/>
    </sheetView>
  </sheetViews>
  <sheetFormatPr baseColWidth="10" defaultRowHeight="12.75"/>
  <cols>
    <col min="1" max="1" width="6.42578125" style="3378" customWidth="1"/>
    <col min="2" max="3" width="7.7109375" style="3378" customWidth="1"/>
    <col min="4" max="4" width="4.5703125" style="3378" customWidth="1"/>
    <col min="5" max="5" width="8.42578125" style="3378" customWidth="1"/>
    <col min="6" max="6" width="7.42578125" style="3378" customWidth="1"/>
    <col min="7" max="7" width="6.7109375" style="3378" customWidth="1"/>
    <col min="8" max="8" width="4.7109375" style="3378" customWidth="1"/>
    <col min="9" max="9" width="6.140625" style="3378" customWidth="1"/>
    <col min="10" max="15" width="7.5703125" style="3378" customWidth="1"/>
    <col min="16" max="16" width="7" style="3378" customWidth="1"/>
    <col min="17" max="17" width="4.140625" style="3378" customWidth="1"/>
    <col min="18" max="23" width="4.7109375" style="3378" customWidth="1"/>
    <col min="24" max="24" width="5" style="3378" customWidth="1"/>
    <col min="25" max="25" width="3.7109375" style="3378" customWidth="1"/>
    <col min="26" max="26" width="3.42578125" style="3378" customWidth="1"/>
    <col min="27" max="27" width="4.5703125" style="3378" customWidth="1"/>
    <col min="28" max="29" width="5.7109375" style="3378" customWidth="1"/>
    <col min="30" max="30" width="3.85546875" style="3378" customWidth="1"/>
    <col min="31" max="31" width="4" style="3378" customWidth="1"/>
    <col min="32" max="33" width="2.7109375" style="3378" customWidth="1"/>
    <col min="34" max="38" width="2.85546875" style="3378" customWidth="1"/>
    <col min="39" max="39" width="6.42578125" style="3378" customWidth="1"/>
    <col min="40" max="46" width="2.7109375" style="3378" customWidth="1"/>
    <col min="47" max="16384" width="11.42578125" style="3378"/>
  </cols>
  <sheetData>
    <row r="1" spans="1:86" ht="27" customHeight="1">
      <c r="A1" s="3374" t="s">
        <v>2155</v>
      </c>
      <c r="B1" s="3375"/>
      <c r="C1" s="3375"/>
      <c r="D1" s="3375"/>
      <c r="E1" s="3375"/>
      <c r="F1" s="3375"/>
      <c r="G1" s="3375"/>
      <c r="H1" s="3375"/>
      <c r="I1" s="3375"/>
      <c r="J1" s="3375"/>
      <c r="K1" s="3375"/>
      <c r="L1" s="3375"/>
      <c r="M1" s="3375"/>
      <c r="N1" s="3375"/>
      <c r="O1" s="3376" t="s">
        <v>2156</v>
      </c>
      <c r="P1" s="3377"/>
      <c r="Q1" s="3377"/>
      <c r="R1" s="3377"/>
      <c r="S1" s="3377"/>
      <c r="T1" s="3377"/>
      <c r="U1" s="3377"/>
      <c r="V1" s="3377"/>
      <c r="W1" s="3377"/>
      <c r="X1" s="3377"/>
    </row>
    <row r="2" spans="1:86" ht="10.5" customHeight="1" thickBot="1">
      <c r="B2" s="3379"/>
      <c r="C2" s="3380"/>
      <c r="D2" s="3380"/>
      <c r="E2" s="3380"/>
      <c r="F2" s="3380"/>
      <c r="G2" s="3380"/>
      <c r="H2" s="3380"/>
      <c r="I2" s="3380"/>
      <c r="J2" s="3380"/>
      <c r="K2" s="3380"/>
      <c r="L2" s="3380"/>
      <c r="M2" s="3380"/>
      <c r="N2" s="3380"/>
      <c r="O2" s="3381"/>
      <c r="P2" s="3382"/>
      <c r="Q2" s="3382"/>
      <c r="R2" s="3382"/>
      <c r="S2" s="3382"/>
      <c r="T2" s="3382"/>
      <c r="U2" s="3382"/>
      <c r="V2" s="3382"/>
      <c r="W2" s="3382"/>
      <c r="X2" s="3382"/>
    </row>
    <row r="3" spans="1:86" ht="18.75" customHeight="1">
      <c r="A3" s="3383" t="s">
        <v>2157</v>
      </c>
      <c r="B3" s="3384"/>
      <c r="C3" s="3384"/>
      <c r="D3" s="3384"/>
      <c r="E3" s="3384"/>
      <c r="F3" s="3384"/>
      <c r="G3" s="3384"/>
      <c r="H3" s="3384"/>
      <c r="I3" s="3384"/>
      <c r="J3" s="3384"/>
      <c r="K3" s="3384"/>
      <c r="L3" s="3384"/>
      <c r="M3" s="3385"/>
      <c r="N3" s="3386"/>
      <c r="O3" s="3387" t="s">
        <v>2158</v>
      </c>
      <c r="P3" s="3388"/>
      <c r="Q3" s="3388"/>
      <c r="R3" s="3388"/>
      <c r="S3" s="3388"/>
      <c r="T3" s="3388"/>
      <c r="U3" s="3388"/>
      <c r="V3" s="3388"/>
      <c r="W3" s="3388"/>
      <c r="X3" s="3389"/>
      <c r="Y3" s="3390"/>
      <c r="AU3" s="3391"/>
      <c r="AV3" s="3392"/>
      <c r="AW3" s="3392"/>
      <c r="AX3" s="3392"/>
      <c r="AY3" s="3392"/>
      <c r="AZ3" s="3391"/>
      <c r="BA3" s="3393"/>
      <c r="BB3" s="3393"/>
      <c r="BC3" s="3393"/>
      <c r="BD3" s="3394"/>
      <c r="BE3" s="3394"/>
      <c r="BF3" s="3394"/>
      <c r="BG3" s="3394"/>
      <c r="BH3" s="3394"/>
      <c r="BI3" s="3394"/>
      <c r="BJ3" s="3394"/>
      <c r="BK3" s="3394"/>
      <c r="BL3" s="3394"/>
      <c r="BM3" s="3394"/>
      <c r="BN3" s="3394"/>
      <c r="BO3" s="3394"/>
      <c r="BP3" s="3394"/>
      <c r="BQ3" s="3394"/>
      <c r="BR3" s="3390"/>
      <c r="BS3" s="3390"/>
      <c r="BT3" s="3391"/>
      <c r="BU3" s="3395"/>
      <c r="BV3" s="3395"/>
      <c r="BW3" s="3395"/>
      <c r="BX3" s="3396"/>
      <c r="BY3" s="3396"/>
      <c r="BZ3" s="3396"/>
      <c r="CA3" s="3392"/>
      <c r="CB3" s="3392"/>
      <c r="CC3" s="3392"/>
      <c r="CD3" s="3392"/>
      <c r="CE3" s="3392"/>
      <c r="CF3" s="3390"/>
      <c r="CG3" s="3392"/>
      <c r="CH3" s="3392"/>
    </row>
    <row r="4" spans="1:86" ht="18.75" customHeight="1">
      <c r="A4" s="3397" t="s">
        <v>2159</v>
      </c>
      <c r="B4" s="3398"/>
      <c r="C4" s="3398"/>
      <c r="D4" s="3398"/>
      <c r="E4" s="3398"/>
      <c r="F4" s="3398"/>
      <c r="G4" s="3398"/>
      <c r="H4" s="3398"/>
      <c r="I4" s="3398"/>
      <c r="J4" s="3398"/>
      <c r="K4" s="3398"/>
      <c r="L4" s="3398"/>
      <c r="M4" s="3399"/>
      <c r="N4" s="3386"/>
      <c r="O4" s="3400"/>
      <c r="P4" s="3401"/>
      <c r="Q4" s="3401"/>
      <c r="R4" s="3401"/>
      <c r="S4" s="3401"/>
      <c r="T4" s="3401"/>
      <c r="U4" s="3401"/>
      <c r="V4" s="3401"/>
      <c r="W4" s="3401"/>
      <c r="X4" s="3402"/>
      <c r="AU4" s="3391"/>
      <c r="AV4" s="3391"/>
      <c r="AW4" s="3391"/>
      <c r="AX4" s="3391"/>
      <c r="AY4" s="3391"/>
      <c r="AZ4" s="3391"/>
      <c r="BA4" s="3393"/>
      <c r="BB4" s="3393"/>
      <c r="BC4" s="3393"/>
      <c r="BD4" s="3394"/>
      <c r="BE4" s="3394"/>
      <c r="BF4" s="3394"/>
      <c r="BG4" s="3394"/>
      <c r="BH4" s="3394"/>
      <c r="BI4" s="3394"/>
      <c r="BJ4" s="3394"/>
      <c r="BK4" s="3394"/>
      <c r="BL4" s="3394"/>
      <c r="BM4" s="3394"/>
      <c r="BN4" s="3394"/>
      <c r="BO4" s="3394"/>
      <c r="BP4" s="3394"/>
      <c r="BQ4" s="3394"/>
      <c r="BR4" s="3392"/>
      <c r="BS4" s="3392"/>
      <c r="BT4" s="3391"/>
      <c r="BU4" s="3395"/>
      <c r="BV4" s="3395"/>
      <c r="BW4" s="3395"/>
      <c r="BX4" s="3396"/>
      <c r="BY4" s="3396"/>
      <c r="BZ4" s="3396"/>
      <c r="CA4" s="3392"/>
      <c r="CB4" s="3392"/>
      <c r="CC4" s="3392"/>
      <c r="CD4" s="3392"/>
      <c r="CE4" s="3392"/>
      <c r="CF4" s="3392"/>
      <c r="CG4" s="3392"/>
      <c r="CH4" s="3392"/>
    </row>
    <row r="5" spans="1:86" ht="18.75" customHeight="1" thickBot="1">
      <c r="A5" s="3403" t="s">
        <v>2160</v>
      </c>
      <c r="B5" s="3404"/>
      <c r="C5" s="3404"/>
      <c r="D5" s="3404"/>
      <c r="E5" s="3404"/>
      <c r="F5" s="3404"/>
      <c r="G5" s="3404"/>
      <c r="H5" s="3404"/>
      <c r="I5" s="3404"/>
      <c r="J5" s="3404"/>
      <c r="K5" s="3404"/>
      <c r="L5" s="3404"/>
      <c r="M5" s="3405"/>
      <c r="N5" s="3386"/>
      <c r="O5" s="3400"/>
      <c r="P5" s="3401"/>
      <c r="Q5" s="3401"/>
      <c r="R5" s="3401"/>
      <c r="S5" s="3401"/>
      <c r="T5" s="3401"/>
      <c r="U5" s="3401"/>
      <c r="V5" s="3401"/>
      <c r="W5" s="3401"/>
      <c r="X5" s="3402"/>
      <c r="AU5" s="3391"/>
      <c r="AV5" s="3391"/>
      <c r="AW5" s="3391"/>
      <c r="AX5" s="3391"/>
      <c r="AY5" s="3391"/>
      <c r="AZ5" s="3391"/>
      <c r="BA5" s="3393"/>
      <c r="BB5" s="3393"/>
      <c r="BC5" s="3393"/>
      <c r="BD5" s="3394"/>
      <c r="BE5" s="3394"/>
      <c r="BF5" s="3394"/>
      <c r="BG5" s="3394"/>
      <c r="BH5" s="3394"/>
      <c r="BI5" s="3394"/>
      <c r="BJ5" s="3394"/>
      <c r="BK5" s="3394"/>
      <c r="BL5" s="3394"/>
      <c r="BM5" s="3394"/>
      <c r="BN5" s="3394"/>
      <c r="BO5" s="3394"/>
      <c r="BP5" s="3394"/>
      <c r="BQ5" s="3394"/>
      <c r="BR5" s="3392"/>
      <c r="BS5" s="3392"/>
      <c r="BT5" s="3391"/>
      <c r="BU5" s="3392"/>
      <c r="BV5" s="3406"/>
      <c r="BW5" s="3406"/>
      <c r="BX5" s="3406"/>
      <c r="BY5" s="3406"/>
      <c r="BZ5" s="3406"/>
      <c r="CA5" s="3406"/>
      <c r="CB5" s="3406"/>
      <c r="CC5" s="3406"/>
      <c r="CD5" s="3406"/>
      <c r="CE5" s="3406"/>
      <c r="CF5" s="3392"/>
      <c r="CG5" s="3392"/>
      <c r="CH5" s="3392"/>
    </row>
    <row r="6" spans="1:86" ht="9.75" customHeight="1" thickBot="1">
      <c r="B6" s="3407"/>
      <c r="C6" s="3407"/>
      <c r="D6" s="3407"/>
      <c r="E6" s="3407"/>
      <c r="F6" s="3407"/>
      <c r="G6" s="3407"/>
      <c r="H6" s="3407"/>
      <c r="I6" s="3380"/>
      <c r="J6" s="3380"/>
      <c r="K6" s="3380"/>
      <c r="L6" s="3380"/>
      <c r="M6" s="3386"/>
      <c r="N6" s="3386"/>
      <c r="O6" s="3400"/>
      <c r="P6" s="3401"/>
      <c r="Q6" s="3401"/>
      <c r="R6" s="3401"/>
      <c r="S6" s="3401"/>
      <c r="T6" s="3401"/>
      <c r="U6" s="3401"/>
      <c r="V6" s="3401"/>
      <c r="W6" s="3401"/>
      <c r="X6" s="3402"/>
      <c r="AU6" s="3391"/>
      <c r="AV6" s="3391"/>
      <c r="AW6" s="3391"/>
      <c r="AX6" s="3391"/>
      <c r="AY6" s="3391"/>
      <c r="AZ6" s="3391"/>
      <c r="BA6" s="3393"/>
      <c r="BB6" s="3393"/>
      <c r="BC6" s="3393"/>
      <c r="BD6" s="3394"/>
      <c r="BE6" s="3394"/>
      <c r="BF6" s="3394"/>
      <c r="BG6" s="3394"/>
      <c r="BH6" s="3394"/>
      <c r="BI6" s="3394"/>
      <c r="BJ6" s="3394"/>
      <c r="BK6" s="3394"/>
      <c r="BL6" s="3394"/>
      <c r="BM6" s="3394"/>
      <c r="BN6" s="3394"/>
      <c r="BO6" s="3394"/>
      <c r="BP6" s="3394"/>
      <c r="BQ6" s="3394"/>
      <c r="BR6" s="3392"/>
      <c r="BS6" s="3392"/>
      <c r="BT6" s="3391"/>
      <c r="BU6" s="3392"/>
      <c r="BV6" s="3406"/>
      <c r="BW6" s="3406"/>
      <c r="BX6" s="3406"/>
      <c r="BY6" s="3406"/>
      <c r="BZ6" s="3406"/>
      <c r="CA6" s="3406"/>
      <c r="CB6" s="3406"/>
      <c r="CC6" s="3406"/>
      <c r="CD6" s="3406"/>
      <c r="CE6" s="3406"/>
      <c r="CF6" s="3392"/>
      <c r="CG6" s="3392"/>
      <c r="CH6" s="3392"/>
    </row>
    <row r="7" spans="1:86" ht="18.75" customHeight="1">
      <c r="A7" s="3408" t="s">
        <v>2161</v>
      </c>
      <c r="B7" s="3384"/>
      <c r="C7" s="3384"/>
      <c r="D7" s="3384"/>
      <c r="E7" s="3384"/>
      <c r="F7" s="3384"/>
      <c r="G7" s="3384"/>
      <c r="H7" s="3384"/>
      <c r="I7" s="3384"/>
      <c r="J7" s="3384"/>
      <c r="K7" s="3384"/>
      <c r="L7" s="3384"/>
      <c r="M7" s="3385"/>
      <c r="N7" s="3386"/>
      <c r="O7" s="3400"/>
      <c r="P7" s="3401"/>
      <c r="Q7" s="3401"/>
      <c r="R7" s="3401"/>
      <c r="S7" s="3401"/>
      <c r="T7" s="3401"/>
      <c r="U7" s="3401"/>
      <c r="V7" s="3401"/>
      <c r="W7" s="3401"/>
      <c r="X7" s="3402"/>
      <c r="AU7" s="3391"/>
      <c r="AV7" s="3391"/>
      <c r="AW7" s="3391"/>
      <c r="AX7" s="3391"/>
      <c r="AY7" s="3391"/>
      <c r="AZ7" s="3392"/>
      <c r="BA7" s="3382"/>
      <c r="BB7" s="3382"/>
      <c r="BC7" s="3382"/>
      <c r="BD7" s="3394"/>
      <c r="BE7" s="3394"/>
      <c r="BF7" s="3394"/>
      <c r="BG7" s="3394"/>
      <c r="BH7" s="3394"/>
      <c r="BI7" s="3394"/>
      <c r="BJ7" s="3394"/>
      <c r="BK7" s="3394"/>
      <c r="BL7" s="3394"/>
      <c r="BM7" s="3394"/>
      <c r="BN7" s="3394"/>
      <c r="BO7" s="3394"/>
      <c r="BP7" s="3394"/>
      <c r="BQ7" s="3394"/>
      <c r="BR7" s="3392"/>
      <c r="BS7" s="3392"/>
      <c r="BT7" s="3409"/>
      <c r="BU7" s="3409"/>
      <c r="BV7" s="3409"/>
      <c r="BW7" s="3409"/>
      <c r="BX7" s="3409"/>
      <c r="BY7" s="3409"/>
      <c r="BZ7" s="3409"/>
      <c r="CA7" s="3409"/>
      <c r="CB7" s="3392"/>
      <c r="CC7" s="3392"/>
      <c r="CD7" s="3392"/>
      <c r="CE7" s="3392"/>
      <c r="CF7" s="3392"/>
      <c r="CG7" s="3392"/>
      <c r="CH7" s="3392"/>
    </row>
    <row r="8" spans="1:86" ht="18.75" customHeight="1">
      <c r="A8" s="3410" t="s">
        <v>2162</v>
      </c>
      <c r="B8" s="3411"/>
      <c r="C8" s="3411"/>
      <c r="D8" s="3411"/>
      <c r="E8" s="3411"/>
      <c r="F8" s="3411"/>
      <c r="G8" s="3411"/>
      <c r="H8" s="3411"/>
      <c r="I8" s="3411"/>
      <c r="J8" s="3411"/>
      <c r="K8" s="3411"/>
      <c r="L8" s="3411"/>
      <c r="M8" s="3412"/>
      <c r="N8" s="3386"/>
      <c r="O8" s="3400"/>
      <c r="P8" s="3401"/>
      <c r="Q8" s="3401"/>
      <c r="R8" s="3401"/>
      <c r="S8" s="3401"/>
      <c r="T8" s="3401"/>
      <c r="U8" s="3401"/>
      <c r="V8" s="3401"/>
      <c r="W8" s="3401"/>
      <c r="X8" s="3402"/>
      <c r="AU8" s="3391"/>
      <c r="AV8" s="3391"/>
      <c r="AW8" s="3391"/>
      <c r="AX8" s="3391"/>
      <c r="AY8" s="3391"/>
      <c r="AZ8" s="3392"/>
      <c r="BA8" s="3382"/>
      <c r="BB8" s="3382"/>
      <c r="BC8" s="3382"/>
      <c r="BD8" s="3394"/>
      <c r="BE8" s="3394"/>
      <c r="BF8" s="3394"/>
      <c r="BG8" s="3394"/>
      <c r="BH8" s="3394"/>
      <c r="BI8" s="3394"/>
      <c r="BJ8" s="3394"/>
      <c r="BK8" s="3394"/>
      <c r="BL8" s="3394"/>
      <c r="BM8" s="3394"/>
      <c r="BN8" s="3394"/>
      <c r="BO8" s="3394"/>
      <c r="BP8" s="3394"/>
      <c r="BQ8" s="3394"/>
      <c r="BR8" s="3392"/>
      <c r="BS8" s="3392"/>
      <c r="BT8" s="3391"/>
      <c r="BU8" s="3391"/>
      <c r="BV8" s="3391"/>
      <c r="BW8" s="3391"/>
      <c r="BX8" s="3391"/>
      <c r="BY8" s="3391"/>
      <c r="BZ8" s="3391"/>
      <c r="CA8" s="3391"/>
      <c r="CB8" s="3392"/>
      <c r="CC8" s="3392"/>
      <c r="CD8" s="3392"/>
      <c r="CE8" s="3392"/>
      <c r="CF8" s="3392"/>
      <c r="CG8" s="3392"/>
      <c r="CH8" s="3392"/>
    </row>
    <row r="9" spans="1:86" ht="18.75" customHeight="1">
      <c r="A9" s="3410" t="s">
        <v>2163</v>
      </c>
      <c r="B9" s="3411"/>
      <c r="C9" s="3411"/>
      <c r="D9" s="3411"/>
      <c r="E9" s="3411"/>
      <c r="F9" s="3411"/>
      <c r="G9" s="3411"/>
      <c r="H9" s="3411"/>
      <c r="I9" s="3411"/>
      <c r="J9" s="3411"/>
      <c r="K9" s="3411"/>
      <c r="L9" s="3411"/>
      <c r="M9" s="3412"/>
      <c r="N9" s="3386"/>
      <c r="O9" s="3400"/>
      <c r="P9" s="3401"/>
      <c r="Q9" s="3401"/>
      <c r="R9" s="3401"/>
      <c r="S9" s="3401"/>
      <c r="T9" s="3401"/>
      <c r="U9" s="3401"/>
      <c r="V9" s="3401"/>
      <c r="W9" s="3401"/>
      <c r="X9" s="3402"/>
      <c r="AU9" s="3391"/>
      <c r="AV9" s="3391"/>
      <c r="AW9" s="3391"/>
      <c r="AX9" s="3391"/>
      <c r="AY9" s="3391"/>
      <c r="AZ9" s="3392"/>
      <c r="BA9" s="3382"/>
      <c r="BB9" s="3382"/>
      <c r="BC9" s="3382"/>
      <c r="BD9" s="3394"/>
      <c r="BE9" s="3394"/>
      <c r="BF9" s="3394"/>
      <c r="BG9" s="3394"/>
      <c r="BH9" s="3394"/>
      <c r="BI9" s="3394"/>
      <c r="BJ9" s="3394"/>
      <c r="BK9" s="3394"/>
      <c r="BL9" s="3394"/>
      <c r="BM9" s="3394"/>
      <c r="BN9" s="3394"/>
      <c r="BO9" s="3394"/>
      <c r="BP9" s="3394"/>
      <c r="BQ9" s="3394"/>
      <c r="BR9" s="3392"/>
      <c r="BS9" s="3392"/>
      <c r="BT9" s="3391"/>
      <c r="BU9" s="3391"/>
      <c r="BV9" s="3391"/>
      <c r="BW9" s="3391"/>
      <c r="BX9" s="3391"/>
      <c r="BY9" s="3391"/>
      <c r="BZ9" s="3391"/>
      <c r="CA9" s="3391"/>
      <c r="CB9" s="3392"/>
      <c r="CC9" s="3392"/>
      <c r="CD9" s="3392"/>
      <c r="CE9" s="3392"/>
      <c r="CF9" s="3392"/>
      <c r="CG9" s="3392"/>
      <c r="CH9" s="3392"/>
    </row>
    <row r="10" spans="1:86" ht="18.75" customHeight="1">
      <c r="A10" s="3410" t="s">
        <v>2164</v>
      </c>
      <c r="B10" s="3411"/>
      <c r="C10" s="3411"/>
      <c r="D10" s="3411"/>
      <c r="E10" s="3411"/>
      <c r="F10" s="3411"/>
      <c r="G10" s="3411"/>
      <c r="H10" s="3411"/>
      <c r="I10" s="3411"/>
      <c r="J10" s="3411"/>
      <c r="K10" s="3411"/>
      <c r="L10" s="3411"/>
      <c r="M10" s="3412"/>
      <c r="N10" s="3386"/>
      <c r="O10" s="3400"/>
      <c r="P10" s="3401"/>
      <c r="Q10" s="3401"/>
      <c r="R10" s="3401"/>
      <c r="S10" s="3401"/>
      <c r="T10" s="3401"/>
      <c r="U10" s="3401"/>
      <c r="V10" s="3401"/>
      <c r="W10" s="3401"/>
      <c r="X10" s="3402"/>
      <c r="AU10" s="3391"/>
      <c r="AV10" s="3391"/>
      <c r="AW10" s="3391"/>
      <c r="AX10" s="3391"/>
      <c r="AY10" s="3391"/>
      <c r="AZ10" s="3392"/>
      <c r="BA10" s="3382"/>
      <c r="BB10" s="3382"/>
      <c r="BC10" s="3382"/>
      <c r="BD10" s="3394"/>
      <c r="BE10" s="3394"/>
      <c r="BF10" s="3394"/>
      <c r="BG10" s="3394"/>
      <c r="BH10" s="3394"/>
      <c r="BI10" s="3394"/>
      <c r="BJ10" s="3394"/>
      <c r="BK10" s="3394"/>
      <c r="BL10" s="3394"/>
      <c r="BM10" s="3394"/>
      <c r="BN10" s="3394"/>
      <c r="BO10" s="3394"/>
      <c r="BP10" s="3394"/>
      <c r="BQ10" s="3394"/>
      <c r="BR10" s="3392"/>
      <c r="BS10" s="3392"/>
      <c r="BT10" s="3391"/>
      <c r="BU10" s="3391"/>
      <c r="BV10" s="3391"/>
      <c r="BW10" s="3391"/>
      <c r="BX10" s="3391"/>
      <c r="BY10" s="3391"/>
      <c r="BZ10" s="3391"/>
      <c r="CA10" s="3391"/>
      <c r="CB10" s="3392"/>
      <c r="CC10" s="3392"/>
      <c r="CD10" s="3392"/>
      <c r="CE10" s="3392"/>
      <c r="CF10" s="3392"/>
      <c r="CG10" s="3392"/>
      <c r="CH10" s="3392"/>
    </row>
    <row r="11" spans="1:86" ht="18.75" customHeight="1">
      <c r="A11" s="3410" t="s">
        <v>2165</v>
      </c>
      <c r="B11" s="3411"/>
      <c r="C11" s="3411"/>
      <c r="D11" s="3411"/>
      <c r="E11" s="3411"/>
      <c r="F11" s="3411"/>
      <c r="G11" s="3411"/>
      <c r="H11" s="3411"/>
      <c r="I11" s="3411"/>
      <c r="J11" s="3411"/>
      <c r="K11" s="3411"/>
      <c r="L11" s="3411"/>
      <c r="M11" s="3412"/>
      <c r="N11" s="3386"/>
      <c r="O11" s="3400"/>
      <c r="P11" s="3401"/>
      <c r="Q11" s="3401"/>
      <c r="R11" s="3401"/>
      <c r="S11" s="3401"/>
      <c r="T11" s="3401"/>
      <c r="U11" s="3401"/>
      <c r="V11" s="3401"/>
      <c r="W11" s="3401"/>
      <c r="X11" s="3402"/>
      <c r="AU11" s="3391"/>
      <c r="AV11" s="3391"/>
      <c r="AW11" s="3391"/>
      <c r="AX11" s="3391"/>
      <c r="AY11" s="3391"/>
      <c r="AZ11" s="3392"/>
      <c r="BA11" s="3382"/>
      <c r="BB11" s="3382"/>
      <c r="BC11" s="3382"/>
      <c r="BD11" s="3394"/>
      <c r="BE11" s="3394"/>
      <c r="BF11" s="3394"/>
      <c r="BG11" s="3394"/>
      <c r="BH11" s="3394"/>
      <c r="BI11" s="3394"/>
      <c r="BJ11" s="3394"/>
      <c r="BK11" s="3394"/>
      <c r="BL11" s="3394"/>
      <c r="BM11" s="3394"/>
      <c r="BN11" s="3394"/>
      <c r="BO11" s="3394"/>
      <c r="BP11" s="3394"/>
      <c r="BQ11" s="3394"/>
      <c r="BR11" s="3392"/>
      <c r="BS11" s="3392"/>
      <c r="BT11" s="3391"/>
      <c r="BU11" s="3391"/>
      <c r="BV11" s="3391"/>
      <c r="BW11" s="3391"/>
      <c r="BX11" s="3391"/>
      <c r="BY11" s="3391"/>
      <c r="BZ11" s="3391"/>
      <c r="CA11" s="3391"/>
      <c r="CB11" s="3392"/>
      <c r="CC11" s="3392"/>
      <c r="CD11" s="3392"/>
      <c r="CE11" s="3392"/>
      <c r="CF11" s="3392"/>
      <c r="CG11" s="3392"/>
      <c r="CH11" s="3392"/>
    </row>
    <row r="12" spans="1:86" ht="18.75" customHeight="1" thickBot="1">
      <c r="A12" s="3413" t="s">
        <v>2166</v>
      </c>
      <c r="B12" s="3404"/>
      <c r="C12" s="3404"/>
      <c r="D12" s="3404"/>
      <c r="E12" s="3404"/>
      <c r="F12" s="3404"/>
      <c r="G12" s="3404"/>
      <c r="H12" s="3404"/>
      <c r="I12" s="3404"/>
      <c r="J12" s="3404"/>
      <c r="K12" s="3404"/>
      <c r="L12" s="3404"/>
      <c r="M12" s="3405"/>
      <c r="N12" s="3386"/>
      <c r="O12" s="3414"/>
      <c r="P12" s="3415"/>
      <c r="Q12" s="3415"/>
      <c r="R12" s="3415"/>
      <c r="S12" s="3415"/>
      <c r="T12" s="3415"/>
      <c r="U12" s="3415"/>
      <c r="V12" s="3415"/>
      <c r="W12" s="3415"/>
      <c r="X12" s="3416"/>
      <c r="AU12" s="3391"/>
      <c r="AV12" s="3391"/>
      <c r="AW12" s="3391"/>
      <c r="AX12" s="3391"/>
      <c r="AY12" s="3391"/>
      <c r="AZ12" s="3392"/>
      <c r="BA12" s="3382"/>
      <c r="BB12" s="3382"/>
      <c r="BC12" s="3382"/>
      <c r="BD12" s="3394"/>
      <c r="BE12" s="3394"/>
      <c r="BF12" s="3394"/>
      <c r="BG12" s="3394"/>
      <c r="BH12" s="3394"/>
      <c r="BI12" s="3394"/>
      <c r="BJ12" s="3394"/>
      <c r="BK12" s="3394"/>
      <c r="BL12" s="3394"/>
      <c r="BM12" s="3394"/>
      <c r="BN12" s="3394"/>
      <c r="BO12" s="3394"/>
      <c r="BP12" s="3394"/>
      <c r="BQ12" s="3394"/>
      <c r="BR12" s="3392"/>
      <c r="BS12" s="3392"/>
      <c r="BT12" s="3391"/>
      <c r="BU12" s="3391"/>
      <c r="BV12" s="3391"/>
      <c r="BW12" s="3391"/>
      <c r="BX12" s="3391"/>
      <c r="BY12" s="3391"/>
      <c r="BZ12" s="3391"/>
      <c r="CA12" s="3391"/>
      <c r="CB12" s="3392"/>
      <c r="CC12" s="3392"/>
      <c r="CD12" s="3392"/>
      <c r="CE12" s="3392"/>
      <c r="CF12" s="3392"/>
      <c r="CG12" s="3392"/>
      <c r="CH12" s="3392"/>
    </row>
    <row r="13" spans="1:86" ht="6" customHeight="1">
      <c r="A13" s="3417"/>
      <c r="B13" s="3417"/>
      <c r="C13" s="3417"/>
      <c r="D13" s="3417"/>
      <c r="E13" s="3417"/>
      <c r="F13" s="3417"/>
      <c r="G13" s="3417"/>
      <c r="H13" s="3417"/>
      <c r="I13" s="3417"/>
      <c r="J13" s="3417"/>
      <c r="K13" s="3417"/>
      <c r="L13" s="3417"/>
      <c r="M13" s="3417"/>
      <c r="N13" s="3417"/>
      <c r="O13" s="3417"/>
      <c r="P13" s="3417"/>
      <c r="Q13" s="3417"/>
      <c r="R13" s="3417"/>
      <c r="S13" s="3417"/>
      <c r="T13" s="3417"/>
      <c r="U13" s="3417"/>
      <c r="V13" s="3417"/>
      <c r="W13" s="3417"/>
      <c r="X13" s="3417"/>
      <c r="AU13" s="3391"/>
      <c r="AV13" s="3391"/>
      <c r="AW13" s="3391"/>
      <c r="AX13" s="3391"/>
      <c r="AY13" s="3391"/>
      <c r="AZ13" s="3392"/>
      <c r="BA13" s="3382"/>
      <c r="BB13" s="3382"/>
      <c r="BC13" s="3382"/>
      <c r="BD13" s="3394"/>
      <c r="BE13" s="3394"/>
      <c r="BF13" s="3394"/>
      <c r="BG13" s="3394"/>
      <c r="BH13" s="3394"/>
      <c r="BI13" s="3394"/>
      <c r="BJ13" s="3394"/>
      <c r="BK13" s="3394"/>
      <c r="BL13" s="3394"/>
      <c r="BM13" s="3394"/>
      <c r="BN13" s="3394"/>
      <c r="BO13" s="3394"/>
      <c r="BP13" s="3394"/>
      <c r="BQ13" s="3394"/>
      <c r="BR13" s="3392"/>
      <c r="BS13" s="3392"/>
      <c r="BT13" s="3391"/>
      <c r="BU13" s="3391"/>
      <c r="BV13" s="3391"/>
      <c r="BW13" s="3391"/>
      <c r="BX13" s="3391"/>
      <c r="BY13" s="3391"/>
      <c r="BZ13" s="3391"/>
      <c r="CA13" s="3391"/>
      <c r="CB13" s="3392"/>
      <c r="CC13" s="3392"/>
      <c r="CD13" s="3392"/>
      <c r="CE13" s="3392"/>
      <c r="CF13" s="3392"/>
      <c r="CG13" s="3392"/>
      <c r="CH13" s="3392"/>
    </row>
    <row r="14" spans="1:86" ht="15.75" customHeight="1" thickBot="1">
      <c r="B14" s="3418"/>
      <c r="C14" s="3418"/>
      <c r="D14" s="3418"/>
      <c r="E14" s="3418"/>
      <c r="F14" s="3418"/>
      <c r="G14" s="3418"/>
      <c r="H14" s="3418"/>
      <c r="I14" s="3382"/>
      <c r="J14" s="3382"/>
      <c r="K14" s="3382"/>
      <c r="L14" s="3419"/>
      <c r="M14" s="3419"/>
      <c r="N14" s="3419"/>
      <c r="O14" s="3419"/>
      <c r="P14" s="3420"/>
      <c r="Q14" s="3420"/>
      <c r="R14" s="3420"/>
      <c r="S14" s="3420"/>
      <c r="T14" s="3420"/>
      <c r="U14" s="3420"/>
      <c r="V14" s="3420"/>
      <c r="W14" s="3420"/>
      <c r="X14" s="3420"/>
      <c r="AU14" s="3391"/>
      <c r="AV14" s="3391"/>
      <c r="AW14" s="3391"/>
      <c r="AX14" s="3391"/>
      <c r="AY14" s="3391"/>
      <c r="AZ14" s="3392"/>
      <c r="BA14" s="3382"/>
      <c r="BB14" s="3382"/>
      <c r="BC14" s="3382"/>
      <c r="BD14" s="3394"/>
      <c r="BE14" s="3394"/>
      <c r="BF14" s="3394"/>
      <c r="BG14" s="3394"/>
      <c r="BH14" s="3394"/>
      <c r="BI14" s="3394"/>
      <c r="BJ14" s="3394"/>
      <c r="BK14" s="3394"/>
      <c r="BL14" s="3394"/>
      <c r="BM14" s="3394"/>
      <c r="BN14" s="3394"/>
      <c r="BO14" s="3394"/>
      <c r="BP14" s="3394"/>
      <c r="BQ14" s="3394"/>
      <c r="BR14" s="3392"/>
      <c r="BS14" s="3392"/>
      <c r="BT14" s="3391"/>
      <c r="BU14" s="3391"/>
      <c r="BV14" s="3391"/>
      <c r="BW14" s="3391"/>
      <c r="BX14" s="3391"/>
      <c r="BY14" s="3391"/>
      <c r="BZ14" s="3391"/>
      <c r="CA14" s="3391"/>
      <c r="CB14" s="3392"/>
      <c r="CC14" s="3392"/>
      <c r="CD14" s="3392"/>
      <c r="CE14" s="3392"/>
      <c r="CF14" s="3392"/>
      <c r="CG14" s="3392"/>
      <c r="CH14" s="3392"/>
    </row>
    <row r="15" spans="1:86" ht="18" customHeight="1" thickBot="1">
      <c r="A15" s="3421" t="s">
        <v>2167</v>
      </c>
      <c r="B15" s="3422" t="s">
        <v>2168</v>
      </c>
      <c r="C15" s="3423"/>
      <c r="D15" s="3423" t="s">
        <v>2169</v>
      </c>
      <c r="E15" s="3424"/>
      <c r="F15" s="3424"/>
      <c r="G15" s="3425" t="s">
        <v>2170</v>
      </c>
      <c r="H15" s="3426"/>
      <c r="I15" s="3427" t="s">
        <v>2171</v>
      </c>
      <c r="J15" s="3428"/>
      <c r="K15" s="3428"/>
      <c r="L15" s="3429"/>
      <c r="M15" s="3430" t="s">
        <v>2172</v>
      </c>
      <c r="N15" s="3431"/>
      <c r="O15" s="3431"/>
      <c r="P15" s="3432"/>
      <c r="Q15" s="3425" t="s">
        <v>2173</v>
      </c>
      <c r="R15" s="3433"/>
      <c r="S15" s="3433"/>
      <c r="T15" s="3433"/>
      <c r="U15" s="3433"/>
      <c r="V15" s="3433"/>
      <c r="W15" s="3433"/>
      <c r="X15" s="3434"/>
      <c r="AU15" s="3391"/>
      <c r="AV15" s="3391"/>
      <c r="AW15" s="3391"/>
      <c r="AX15" s="3391"/>
      <c r="AY15" s="3391"/>
      <c r="AZ15" s="3392"/>
      <c r="BA15" s="3382"/>
      <c r="BB15" s="3382"/>
      <c r="BC15" s="3382"/>
      <c r="BD15" s="3419"/>
      <c r="BE15" s="3419"/>
      <c r="BF15" s="3419"/>
      <c r="BG15" s="3419"/>
      <c r="BH15" s="3419"/>
      <c r="BI15" s="3419"/>
      <c r="BJ15" s="3419"/>
      <c r="BK15" s="3419"/>
      <c r="BL15" s="3419"/>
      <c r="BM15" s="3419"/>
      <c r="BN15" s="3419"/>
      <c r="BO15" s="3419"/>
      <c r="BP15" s="3419"/>
      <c r="BQ15" s="3419"/>
      <c r="BR15" s="3392"/>
      <c r="BS15" s="3392"/>
      <c r="BT15" s="3391"/>
      <c r="BU15" s="3391"/>
      <c r="BV15" s="3391"/>
      <c r="BW15" s="3391"/>
      <c r="BX15" s="3391"/>
      <c r="BY15" s="3391"/>
      <c r="BZ15" s="3391"/>
      <c r="CA15" s="3391"/>
      <c r="CB15" s="3392"/>
      <c r="CC15" s="3392"/>
      <c r="CD15" s="3392"/>
      <c r="CE15" s="3392"/>
      <c r="CF15" s="3392"/>
      <c r="CG15" s="3392"/>
      <c r="CH15" s="3392"/>
    </row>
    <row r="16" spans="1:86" ht="18" customHeight="1">
      <c r="A16" s="3435"/>
      <c r="B16" s="3436"/>
      <c r="C16" s="3437"/>
      <c r="D16" s="3437"/>
      <c r="E16" s="3438"/>
      <c r="F16" s="3438"/>
      <c r="G16" s="3439"/>
      <c r="H16" s="3440"/>
      <c r="I16" s="3441" t="s">
        <v>2174</v>
      </c>
      <c r="J16" s="3442"/>
      <c r="K16" s="3442" t="s">
        <v>2175</v>
      </c>
      <c r="L16" s="3443"/>
      <c r="M16" s="3433" t="s">
        <v>2174</v>
      </c>
      <c r="N16" s="3444"/>
      <c r="O16" s="3442" t="s">
        <v>2175</v>
      </c>
      <c r="P16" s="3443"/>
      <c r="Q16" s="3441" t="s">
        <v>910</v>
      </c>
      <c r="R16" s="3442"/>
      <c r="S16" s="3423" t="s">
        <v>120</v>
      </c>
      <c r="T16" s="3423"/>
      <c r="U16" s="3442" t="s">
        <v>2176</v>
      </c>
      <c r="V16" s="3423"/>
      <c r="W16" s="3442" t="s">
        <v>2177</v>
      </c>
      <c r="X16" s="3443"/>
      <c r="AU16" s="3391"/>
      <c r="AV16" s="3391"/>
      <c r="AW16" s="3391"/>
      <c r="AX16" s="3391"/>
      <c r="AY16" s="3391"/>
      <c r="AZ16" s="3392"/>
      <c r="BA16" s="3382"/>
      <c r="BB16" s="3382"/>
      <c r="BC16" s="3382"/>
      <c r="BD16" s="3419"/>
      <c r="BE16" s="3419"/>
      <c r="BF16" s="3419"/>
      <c r="BG16" s="3419"/>
      <c r="BH16" s="3419"/>
      <c r="BI16" s="3419"/>
      <c r="BJ16" s="3419"/>
      <c r="BK16" s="3419"/>
      <c r="BL16" s="3419"/>
      <c r="BM16" s="3419"/>
      <c r="BN16" s="3419"/>
      <c r="BO16" s="3419"/>
      <c r="BP16" s="3419"/>
      <c r="BQ16" s="3419"/>
      <c r="BR16" s="3392"/>
      <c r="BS16" s="3392"/>
      <c r="BT16" s="3391"/>
      <c r="BU16" s="3391"/>
      <c r="BV16" s="3391"/>
      <c r="BW16" s="3391"/>
      <c r="BX16" s="3391"/>
      <c r="BY16" s="3391"/>
      <c r="BZ16" s="3391"/>
      <c r="CA16" s="3391"/>
      <c r="CB16" s="3392"/>
      <c r="CC16" s="3392"/>
      <c r="CD16" s="3392"/>
      <c r="CE16" s="3392"/>
      <c r="CF16" s="3392"/>
      <c r="CG16" s="3392"/>
      <c r="CH16" s="3392"/>
    </row>
    <row r="17" spans="1:99" ht="18" customHeight="1" thickBot="1">
      <c r="A17" s="3445"/>
      <c r="B17" s="3446"/>
      <c r="C17" s="3447"/>
      <c r="D17" s="3447"/>
      <c r="E17" s="3448"/>
      <c r="F17" s="3448"/>
      <c r="G17" s="3439"/>
      <c r="H17" s="3440"/>
      <c r="I17" s="3449"/>
      <c r="J17" s="3450"/>
      <c r="K17" s="3450"/>
      <c r="L17" s="3451"/>
      <c r="M17" s="3452"/>
      <c r="N17" s="3453"/>
      <c r="O17" s="3450"/>
      <c r="P17" s="3451"/>
      <c r="Q17" s="3449"/>
      <c r="R17" s="3450"/>
      <c r="S17" s="3447"/>
      <c r="T17" s="3447"/>
      <c r="U17" s="3447"/>
      <c r="V17" s="3447"/>
      <c r="W17" s="3450"/>
      <c r="X17" s="3451"/>
      <c r="AU17" s="3391"/>
      <c r="AV17" s="3391"/>
      <c r="AW17" s="3391"/>
      <c r="AX17" s="3391"/>
      <c r="AY17" s="3391"/>
      <c r="AZ17" s="3392"/>
      <c r="BA17" s="3382"/>
      <c r="BB17" s="3382"/>
      <c r="BC17" s="3382"/>
      <c r="BD17" s="3419"/>
      <c r="BE17" s="3419"/>
      <c r="BF17" s="3419"/>
      <c r="BG17" s="3419"/>
      <c r="BH17" s="3419"/>
      <c r="BI17" s="3419"/>
      <c r="BJ17" s="3419"/>
      <c r="BK17" s="3419"/>
      <c r="BL17" s="3419"/>
      <c r="BM17" s="3419"/>
      <c r="BN17" s="3419"/>
      <c r="BO17" s="3419"/>
      <c r="BP17" s="3419"/>
      <c r="BQ17" s="3419"/>
      <c r="BR17" s="3392"/>
      <c r="BS17" s="3392"/>
      <c r="BT17" s="3391"/>
      <c r="BU17" s="3391"/>
      <c r="BV17" s="3391"/>
      <c r="BW17" s="3391"/>
      <c r="BX17" s="3391"/>
      <c r="BY17" s="3391"/>
      <c r="BZ17" s="3391"/>
      <c r="CA17" s="3391"/>
      <c r="CB17" s="3392"/>
      <c r="CC17" s="3392"/>
      <c r="CD17" s="3392"/>
      <c r="CE17" s="3392"/>
      <c r="CF17" s="3392"/>
      <c r="CG17" s="3392"/>
      <c r="CH17" s="3392"/>
    </row>
    <row r="18" spans="1:99" ht="18" customHeight="1">
      <c r="A18" s="3454"/>
      <c r="B18" s="3455"/>
      <c r="C18" s="3456"/>
      <c r="D18" s="3456"/>
      <c r="E18" s="3457"/>
      <c r="F18" s="3457"/>
      <c r="G18" s="3458"/>
      <c r="H18" s="3459"/>
      <c r="I18" s="3460"/>
      <c r="J18" s="3461"/>
      <c r="K18" s="3462"/>
      <c r="L18" s="3463"/>
      <c r="M18" s="3460"/>
      <c r="N18" s="3464"/>
      <c r="O18" s="3460"/>
      <c r="P18" s="3464"/>
      <c r="Q18" s="3465"/>
      <c r="R18" s="3466"/>
      <c r="S18" s="3466"/>
      <c r="T18" s="3466"/>
      <c r="U18" s="3467"/>
      <c r="V18" s="3467"/>
      <c r="W18" s="3467"/>
      <c r="X18" s="3468"/>
      <c r="AU18" s="3391"/>
      <c r="AV18" s="3391"/>
      <c r="AW18" s="3391"/>
      <c r="AX18" s="3391"/>
      <c r="AY18" s="3391"/>
      <c r="AZ18" s="3392"/>
      <c r="BA18" s="3382"/>
      <c r="BB18" s="3382"/>
      <c r="BC18" s="3382"/>
      <c r="BD18" s="3419"/>
      <c r="BE18" s="3419"/>
      <c r="BF18" s="3419"/>
      <c r="BG18" s="3419"/>
      <c r="BH18" s="3419"/>
      <c r="BI18" s="3419"/>
      <c r="BJ18" s="3419"/>
      <c r="BK18" s="3419"/>
      <c r="BL18" s="3419"/>
      <c r="BM18" s="3419"/>
      <c r="BN18" s="3419"/>
      <c r="BO18" s="3419"/>
      <c r="BP18" s="3419"/>
      <c r="BQ18" s="3419"/>
      <c r="BR18" s="3392"/>
      <c r="BS18" s="3392"/>
      <c r="BT18" s="3391"/>
      <c r="BU18" s="3391"/>
      <c r="BV18" s="3391"/>
      <c r="BW18" s="3391"/>
      <c r="BX18" s="3391"/>
      <c r="BY18" s="3391"/>
      <c r="BZ18" s="3391"/>
      <c r="CA18" s="3391"/>
      <c r="CB18" s="3392"/>
      <c r="CC18" s="3392"/>
      <c r="CD18" s="3392"/>
      <c r="CE18" s="3392"/>
      <c r="CF18" s="3392"/>
      <c r="CG18" s="3392"/>
      <c r="CH18" s="3392"/>
    </row>
    <row r="19" spans="1:99" ht="18" customHeight="1">
      <c r="A19" s="3469"/>
      <c r="B19" s="3470"/>
      <c r="C19" s="3471"/>
      <c r="D19" s="3471"/>
      <c r="E19" s="3472"/>
      <c r="F19" s="3472"/>
      <c r="G19" s="3473"/>
      <c r="H19" s="3474"/>
      <c r="I19" s="3460"/>
      <c r="J19" s="3464"/>
      <c r="K19" s="3475"/>
      <c r="L19" s="3476"/>
      <c r="M19" s="3460"/>
      <c r="N19" s="3464"/>
      <c r="O19" s="3460"/>
      <c r="P19" s="3464"/>
      <c r="Q19" s="3477"/>
      <c r="R19" s="3478"/>
      <c r="S19" s="3478"/>
      <c r="T19" s="3478"/>
      <c r="U19" s="3479"/>
      <c r="V19" s="3479"/>
      <c r="W19" s="3479"/>
      <c r="X19" s="3480"/>
      <c r="AU19" s="3391"/>
      <c r="AV19" s="3391"/>
      <c r="AW19" s="3391"/>
      <c r="AX19" s="3391"/>
      <c r="AY19" s="3391"/>
      <c r="AZ19" s="3392"/>
      <c r="BA19" s="3382"/>
      <c r="BB19" s="3382"/>
      <c r="BC19" s="3382"/>
      <c r="BD19" s="3419"/>
      <c r="BE19" s="3419"/>
      <c r="BF19" s="3419"/>
      <c r="BG19" s="3419"/>
      <c r="BH19" s="3419"/>
      <c r="BI19" s="3419"/>
      <c r="BJ19" s="3419"/>
      <c r="BK19" s="3419"/>
      <c r="BL19" s="3419"/>
      <c r="BM19" s="3419"/>
      <c r="BN19" s="3419"/>
      <c r="BO19" s="3419"/>
      <c r="BP19" s="3419"/>
      <c r="BQ19" s="3419"/>
      <c r="BR19" s="3392"/>
      <c r="BS19" s="3392"/>
      <c r="BT19" s="3391"/>
      <c r="BU19" s="3391"/>
      <c r="BV19" s="3391"/>
      <c r="BW19" s="3391"/>
      <c r="BX19" s="3391"/>
      <c r="BY19" s="3391"/>
      <c r="BZ19" s="3391"/>
      <c r="CA19" s="3391"/>
      <c r="CB19" s="3392"/>
      <c r="CC19" s="3392"/>
      <c r="CD19" s="3392"/>
      <c r="CE19" s="3392"/>
      <c r="CF19" s="3392"/>
      <c r="CG19" s="3392"/>
      <c r="CH19" s="3392"/>
    </row>
    <row r="20" spans="1:99" ht="18" customHeight="1">
      <c r="A20" s="3481"/>
      <c r="B20" s="3470"/>
      <c r="C20" s="3471"/>
      <c r="D20" s="3471"/>
      <c r="E20" s="3472"/>
      <c r="F20" s="3472"/>
      <c r="G20" s="3473"/>
      <c r="H20" s="3474"/>
      <c r="I20" s="3460"/>
      <c r="J20" s="3464"/>
      <c r="K20" s="3464"/>
      <c r="L20" s="3482"/>
      <c r="M20" s="3460"/>
      <c r="N20" s="3464"/>
      <c r="O20" s="3460"/>
      <c r="P20" s="3464"/>
      <c r="Q20" s="3477"/>
      <c r="R20" s="3478"/>
      <c r="S20" s="3478"/>
      <c r="T20" s="3478"/>
      <c r="U20" s="3479"/>
      <c r="V20" s="3479"/>
      <c r="W20" s="3479"/>
      <c r="X20" s="3480"/>
      <c r="Y20" s="3392"/>
      <c r="Z20" s="3392"/>
      <c r="AA20" s="3392"/>
      <c r="AU20" s="3391"/>
      <c r="AV20" s="3391"/>
      <c r="AW20" s="3391"/>
      <c r="AX20" s="3391"/>
      <c r="AY20" s="3391"/>
      <c r="AZ20" s="3392"/>
      <c r="BA20" s="3382"/>
      <c r="BB20" s="3382"/>
      <c r="BC20" s="3382"/>
      <c r="BD20" s="3419"/>
      <c r="BE20" s="3419"/>
      <c r="BF20" s="3419"/>
      <c r="BG20" s="3419"/>
      <c r="BH20" s="3419"/>
      <c r="BI20" s="3419"/>
      <c r="BJ20" s="3419"/>
      <c r="BK20" s="3419"/>
      <c r="BL20" s="3419"/>
      <c r="BM20" s="3419"/>
      <c r="BN20" s="3419"/>
      <c r="BO20" s="3419"/>
      <c r="BP20" s="3419"/>
      <c r="BQ20" s="3419"/>
      <c r="BR20" s="3392"/>
      <c r="BS20" s="3392"/>
      <c r="BT20" s="3391"/>
      <c r="BU20" s="3391"/>
      <c r="BV20" s="3391"/>
      <c r="BW20" s="3391"/>
      <c r="BX20" s="3391"/>
      <c r="BY20" s="3391"/>
      <c r="BZ20" s="3391"/>
      <c r="CA20" s="3391"/>
      <c r="CB20" s="3392"/>
      <c r="CC20" s="3392"/>
      <c r="CD20" s="3392"/>
      <c r="CE20" s="3392"/>
      <c r="CF20" s="3392"/>
      <c r="CG20" s="3392"/>
      <c r="CH20" s="3392"/>
    </row>
    <row r="21" spans="1:99" ht="18" customHeight="1">
      <c r="A21" s="3481"/>
      <c r="B21" s="3470"/>
      <c r="C21" s="3471"/>
      <c r="D21" s="3471"/>
      <c r="E21" s="3472"/>
      <c r="F21" s="3472"/>
      <c r="G21" s="3473"/>
      <c r="H21" s="3474"/>
      <c r="I21" s="3460"/>
      <c r="J21" s="3464"/>
      <c r="K21" s="3464"/>
      <c r="L21" s="3482"/>
      <c r="M21" s="3460"/>
      <c r="N21" s="3464"/>
      <c r="O21" s="3460"/>
      <c r="P21" s="3464"/>
      <c r="Q21" s="3477"/>
      <c r="R21" s="3478"/>
      <c r="S21" s="3478"/>
      <c r="T21" s="3478"/>
      <c r="U21" s="3479"/>
      <c r="V21" s="3479"/>
      <c r="W21" s="3479"/>
      <c r="X21" s="3480"/>
      <c r="Y21" s="3392"/>
      <c r="Z21" s="3392"/>
      <c r="AA21" s="3392"/>
      <c r="AU21" s="3391"/>
      <c r="AV21" s="3391"/>
      <c r="AW21" s="3391"/>
      <c r="AX21" s="3391"/>
      <c r="AY21" s="3391"/>
      <c r="AZ21" s="3392"/>
      <c r="BA21" s="3382"/>
      <c r="BB21" s="3382"/>
      <c r="BC21" s="3382"/>
      <c r="BD21" s="3419"/>
      <c r="BE21" s="3419"/>
      <c r="BF21" s="3419"/>
      <c r="BG21" s="3419"/>
      <c r="BH21" s="3419"/>
      <c r="BI21" s="3419"/>
      <c r="BJ21" s="3419"/>
      <c r="BK21" s="3419"/>
      <c r="BL21" s="3419"/>
      <c r="BM21" s="3419"/>
      <c r="BN21" s="3419"/>
      <c r="BO21" s="3419"/>
      <c r="BP21" s="3419"/>
      <c r="BQ21" s="3419"/>
      <c r="BR21" s="3392"/>
      <c r="BS21" s="3392"/>
      <c r="BT21" s="3391"/>
      <c r="BU21" s="3391"/>
      <c r="BV21" s="3391"/>
      <c r="BW21" s="3391"/>
      <c r="BX21" s="3391"/>
      <c r="BY21" s="3391"/>
      <c r="BZ21" s="3391"/>
      <c r="CA21" s="3391"/>
      <c r="CB21" s="3392"/>
      <c r="CC21" s="3392"/>
      <c r="CD21" s="3392"/>
      <c r="CE21" s="3392"/>
      <c r="CF21" s="3392"/>
      <c r="CG21" s="3392"/>
      <c r="CH21" s="3392"/>
    </row>
    <row r="22" spans="1:99" ht="18" customHeight="1">
      <c r="A22" s="3481"/>
      <c r="B22" s="3470"/>
      <c r="C22" s="3471"/>
      <c r="D22" s="3471"/>
      <c r="E22" s="3472"/>
      <c r="F22" s="3472"/>
      <c r="G22" s="3473"/>
      <c r="H22" s="3474"/>
      <c r="I22" s="3460"/>
      <c r="J22" s="3464"/>
      <c r="K22" s="3464"/>
      <c r="L22" s="3482"/>
      <c r="M22" s="3460"/>
      <c r="N22" s="3464"/>
      <c r="O22" s="3460"/>
      <c r="P22" s="3464"/>
      <c r="Q22" s="3477"/>
      <c r="R22" s="3478"/>
      <c r="S22" s="3478"/>
      <c r="T22" s="3478"/>
      <c r="U22" s="3479"/>
      <c r="V22" s="3479"/>
      <c r="W22" s="3479"/>
      <c r="X22" s="3480"/>
      <c r="AU22" s="3391"/>
      <c r="AV22" s="3391"/>
      <c r="AW22" s="3391"/>
      <c r="AX22" s="3391"/>
      <c r="AY22" s="3391"/>
      <c r="AZ22" s="3392"/>
      <c r="BA22" s="3382"/>
      <c r="BB22" s="3382"/>
      <c r="BC22" s="3382"/>
      <c r="BD22" s="3419"/>
      <c r="BE22" s="3419"/>
      <c r="BF22" s="3419"/>
      <c r="BG22" s="3419"/>
      <c r="BH22" s="3419"/>
      <c r="BI22" s="3419"/>
      <c r="BJ22" s="3419"/>
      <c r="BK22" s="3419"/>
      <c r="BL22" s="3419"/>
      <c r="BM22" s="3419"/>
      <c r="BN22" s="3419"/>
      <c r="BO22" s="3419"/>
      <c r="BP22" s="3419"/>
      <c r="BQ22" s="3419"/>
      <c r="BR22" s="3392"/>
      <c r="BS22" s="3392"/>
      <c r="BT22" s="3391"/>
      <c r="BU22" s="3391"/>
      <c r="BV22" s="3391"/>
      <c r="BW22" s="3391"/>
      <c r="BX22" s="3391"/>
      <c r="BY22" s="3391"/>
      <c r="BZ22" s="3391"/>
      <c r="CA22" s="3391"/>
      <c r="CB22" s="3392"/>
      <c r="CC22" s="3392"/>
      <c r="CD22" s="3392"/>
      <c r="CE22" s="3392"/>
      <c r="CF22" s="3392"/>
      <c r="CG22" s="3392"/>
      <c r="CH22" s="3392"/>
    </row>
    <row r="23" spans="1:99" ht="18" customHeight="1">
      <c r="A23" s="3481"/>
      <c r="B23" s="3470"/>
      <c r="C23" s="3471"/>
      <c r="D23" s="3471"/>
      <c r="E23" s="3472"/>
      <c r="F23" s="3472"/>
      <c r="G23" s="3473"/>
      <c r="H23" s="3474"/>
      <c r="I23" s="3460"/>
      <c r="J23" s="3464"/>
      <c r="K23" s="3464"/>
      <c r="L23" s="3482"/>
      <c r="M23" s="3460"/>
      <c r="N23" s="3464"/>
      <c r="O23" s="3460"/>
      <c r="P23" s="3464"/>
      <c r="Q23" s="3477"/>
      <c r="R23" s="3478"/>
      <c r="S23" s="3478"/>
      <c r="T23" s="3478"/>
      <c r="U23" s="3479"/>
      <c r="V23" s="3479"/>
      <c r="W23" s="3479"/>
      <c r="X23" s="3480"/>
      <c r="AU23" s="3391"/>
      <c r="AV23" s="3391"/>
      <c r="AW23" s="3391"/>
      <c r="AX23" s="3391"/>
      <c r="AY23" s="3391"/>
      <c r="AZ23" s="3392"/>
      <c r="BA23" s="3382"/>
      <c r="BB23" s="3382"/>
      <c r="BC23" s="3382"/>
      <c r="BD23" s="3419"/>
      <c r="BE23" s="3419"/>
      <c r="BF23" s="3419"/>
      <c r="BG23" s="3419"/>
      <c r="BH23" s="3419"/>
      <c r="BI23" s="3419"/>
      <c r="BJ23" s="3419"/>
      <c r="BK23" s="3419"/>
      <c r="BL23" s="3419"/>
      <c r="BM23" s="3419"/>
      <c r="BN23" s="3419"/>
      <c r="BO23" s="3419"/>
      <c r="BP23" s="3419"/>
      <c r="BQ23" s="3419"/>
      <c r="BR23" s="3392"/>
      <c r="BS23" s="3392"/>
      <c r="BT23" s="3391"/>
      <c r="BU23" s="3391"/>
      <c r="BV23" s="3391"/>
      <c r="BW23" s="3391"/>
      <c r="BX23" s="3391"/>
      <c r="BY23" s="3391"/>
      <c r="BZ23" s="3391"/>
      <c r="CA23" s="3391"/>
      <c r="CB23" s="3392"/>
      <c r="CC23" s="3392"/>
      <c r="CD23" s="3392"/>
      <c r="CE23" s="3392"/>
      <c r="CF23" s="3392"/>
      <c r="CG23" s="3392"/>
      <c r="CH23" s="3392"/>
    </row>
    <row r="24" spans="1:99" ht="18" customHeight="1" thickBot="1">
      <c r="A24" s="3483"/>
      <c r="B24" s="3484"/>
      <c r="C24" s="3485"/>
      <c r="D24" s="3485"/>
      <c r="E24" s="3486"/>
      <c r="F24" s="3486"/>
      <c r="G24" s="3487"/>
      <c r="H24" s="3488"/>
      <c r="I24" s="3489"/>
      <c r="J24" s="3490"/>
      <c r="K24" s="3490"/>
      <c r="L24" s="3491"/>
      <c r="M24" s="3489"/>
      <c r="N24" s="3490"/>
      <c r="O24" s="3489"/>
      <c r="P24" s="3491"/>
      <c r="Q24" s="3492"/>
      <c r="R24" s="3493"/>
      <c r="S24" s="3493"/>
      <c r="T24" s="3493"/>
      <c r="U24" s="3494"/>
      <c r="V24" s="3494"/>
      <c r="W24" s="3494"/>
      <c r="X24" s="3495"/>
      <c r="AU24" s="3391"/>
      <c r="AV24" s="3391"/>
      <c r="AW24" s="3391"/>
      <c r="AX24" s="3391"/>
      <c r="AY24" s="3391"/>
      <c r="AZ24" s="3392"/>
      <c r="BA24" s="3382"/>
      <c r="BB24" s="3382"/>
      <c r="BC24" s="3382"/>
      <c r="BD24" s="3419"/>
      <c r="BE24" s="3419"/>
      <c r="BF24" s="3419"/>
      <c r="BG24" s="3419"/>
      <c r="BH24" s="3419"/>
      <c r="BI24" s="3419"/>
      <c r="BJ24" s="3419"/>
      <c r="BK24" s="3419"/>
      <c r="BL24" s="3419"/>
      <c r="BM24" s="3419"/>
      <c r="BN24" s="3419"/>
      <c r="BO24" s="3419"/>
      <c r="BP24" s="3419"/>
      <c r="BQ24" s="3419"/>
      <c r="BR24" s="3392"/>
      <c r="BS24" s="3392"/>
      <c r="BT24" s="3391"/>
      <c r="BU24" s="3391"/>
      <c r="BV24" s="3391"/>
      <c r="BW24" s="3391"/>
      <c r="BX24" s="3391"/>
      <c r="BY24" s="3391"/>
      <c r="BZ24" s="3391"/>
      <c r="CA24" s="3391"/>
      <c r="CB24" s="3392"/>
      <c r="CC24" s="3392"/>
      <c r="CD24" s="3392"/>
      <c r="CE24" s="3392"/>
      <c r="CF24" s="3392"/>
      <c r="CG24" s="3392"/>
      <c r="CH24" s="3392"/>
    </row>
    <row r="25" spans="1:99" ht="15" customHeight="1" thickBot="1">
      <c r="I25" s="3496"/>
      <c r="J25" s="3496"/>
      <c r="K25" s="3496"/>
      <c r="L25" s="3395"/>
      <c r="P25" s="3392"/>
      <c r="BH25" s="3392"/>
      <c r="BI25" s="3392"/>
      <c r="BJ25" s="3392"/>
      <c r="BK25" s="3392"/>
      <c r="BL25" s="3392"/>
      <c r="BM25" s="3496"/>
      <c r="BN25" s="3496"/>
      <c r="BO25" s="3496"/>
      <c r="BP25" s="3496"/>
      <c r="BQ25" s="3496"/>
      <c r="BR25" s="3395"/>
      <c r="BS25" s="3392"/>
      <c r="BT25" s="3392"/>
      <c r="BU25" s="3392"/>
      <c r="BV25" s="3392"/>
      <c r="BW25" s="3392"/>
      <c r="BX25" s="3392"/>
      <c r="BY25" s="3392"/>
      <c r="BZ25" s="3392"/>
      <c r="CA25" s="3392"/>
      <c r="CB25" s="3392"/>
      <c r="CC25" s="3392"/>
      <c r="CD25" s="3392"/>
      <c r="CE25" s="3392"/>
      <c r="CF25" s="3392"/>
      <c r="CG25" s="3392"/>
      <c r="CH25" s="3392"/>
      <c r="CI25" s="3392"/>
      <c r="CJ25" s="3392"/>
      <c r="CK25" s="3392"/>
      <c r="CL25" s="3392"/>
      <c r="CM25" s="3392"/>
      <c r="CN25" s="3392"/>
      <c r="CO25" s="3392"/>
      <c r="CP25" s="3392"/>
      <c r="CQ25" s="3392"/>
      <c r="CR25" s="3392"/>
      <c r="CS25" s="3392"/>
      <c r="CT25" s="3392"/>
      <c r="CU25" s="3392"/>
    </row>
    <row r="26" spans="1:99" ht="31.5" customHeight="1">
      <c r="A26" s="3497" t="s">
        <v>2178</v>
      </c>
      <c r="B26" s="3498" t="s">
        <v>2179</v>
      </c>
      <c r="C26" s="3499"/>
      <c r="D26" s="3499"/>
      <c r="E26" s="3499"/>
      <c r="F26" s="3499"/>
      <c r="G26" s="3499"/>
      <c r="H26" s="3499"/>
      <c r="I26" s="3499"/>
      <c r="J26" s="3499"/>
      <c r="K26" s="3426"/>
      <c r="L26" s="3425" t="s">
        <v>2180</v>
      </c>
      <c r="M26" s="3499"/>
      <c r="N26" s="3499"/>
      <c r="O26" s="3499"/>
      <c r="P26" s="3499"/>
      <c r="Q26" s="3499"/>
      <c r="R26" s="3426"/>
      <c r="S26" s="3500"/>
      <c r="T26" s="3501" t="s">
        <v>2181</v>
      </c>
      <c r="U26" s="3502"/>
      <c r="V26" s="3502"/>
      <c r="W26" s="3502"/>
      <c r="X26" s="3503"/>
      <c r="AQ26" s="3500"/>
      <c r="AR26" s="3500"/>
      <c r="AS26" s="3500"/>
      <c r="AT26" s="3504"/>
      <c r="AU26" s="3504"/>
      <c r="AV26" s="3504"/>
      <c r="AW26" s="3504"/>
      <c r="AX26" s="3504"/>
      <c r="AY26" s="3504"/>
      <c r="AZ26" s="3504"/>
      <c r="BA26" s="3504"/>
      <c r="BB26" s="3500"/>
      <c r="BC26" s="3500"/>
      <c r="BD26" s="3505"/>
      <c r="BE26" s="3505"/>
      <c r="BF26" s="3505"/>
      <c r="BG26" s="3505"/>
      <c r="BH26" s="3505"/>
      <c r="BI26" s="3505"/>
      <c r="BJ26" s="3505"/>
      <c r="BK26" s="3505"/>
      <c r="BL26" s="3505"/>
      <c r="BM26" s="3505"/>
      <c r="BN26" s="3505"/>
      <c r="BO26" s="3505"/>
      <c r="BP26" s="3505"/>
      <c r="BQ26" s="3505"/>
      <c r="BR26" s="3505"/>
      <c r="BS26" s="3500"/>
      <c r="BT26" s="3500"/>
      <c r="BU26" s="3500"/>
      <c r="BV26" s="3500"/>
      <c r="BW26" s="3500"/>
      <c r="BX26" s="3500"/>
      <c r="BY26" s="3500"/>
      <c r="BZ26" s="3500"/>
      <c r="CA26" s="3500"/>
      <c r="CB26" s="3500"/>
      <c r="CC26" s="3392"/>
      <c r="CD26" s="3392"/>
    </row>
    <row r="27" spans="1:99" ht="10.5" customHeight="1" thickBot="1">
      <c r="A27" s="3506"/>
      <c r="B27" s="3507"/>
      <c r="C27" s="3377"/>
      <c r="D27" s="3377"/>
      <c r="E27" s="3377"/>
      <c r="F27" s="3377"/>
      <c r="G27" s="3377"/>
      <c r="H27" s="3377"/>
      <c r="I27" s="3377"/>
      <c r="J27" s="3377"/>
      <c r="K27" s="3440"/>
      <c r="L27" s="3507"/>
      <c r="M27" s="3377"/>
      <c r="N27" s="3377"/>
      <c r="O27" s="3377"/>
      <c r="P27" s="3377"/>
      <c r="Q27" s="3377"/>
      <c r="R27" s="3440"/>
      <c r="S27" s="3500"/>
      <c r="T27" s="3508"/>
      <c r="U27" s="3509"/>
      <c r="V27" s="3509"/>
      <c r="W27" s="3509"/>
      <c r="X27" s="3510"/>
      <c r="AQ27" s="3500"/>
      <c r="AR27" s="3500"/>
      <c r="AS27" s="3500"/>
      <c r="AT27" s="3504"/>
      <c r="AU27" s="3504"/>
      <c r="AV27" s="3504"/>
      <c r="AW27" s="3504"/>
      <c r="AX27" s="3504"/>
      <c r="AY27" s="3504"/>
      <c r="AZ27" s="3504"/>
      <c r="BA27" s="3504"/>
      <c r="BB27" s="3500"/>
      <c r="BC27" s="3500"/>
      <c r="BD27" s="3505"/>
      <c r="BE27" s="3505"/>
      <c r="BF27" s="3505"/>
      <c r="BG27" s="3505"/>
      <c r="BH27" s="3505"/>
      <c r="BI27" s="3505"/>
      <c r="BJ27" s="3505"/>
      <c r="BK27" s="3505"/>
      <c r="BL27" s="3505"/>
      <c r="BM27" s="3505"/>
      <c r="BN27" s="3505"/>
      <c r="BO27" s="3505"/>
      <c r="BP27" s="3511"/>
      <c r="BQ27" s="3511"/>
      <c r="BR27" s="3511"/>
      <c r="BS27" s="3500"/>
      <c r="BT27" s="3500"/>
      <c r="BU27" s="3500"/>
      <c r="BV27" s="3500"/>
      <c r="BW27" s="3500"/>
      <c r="BX27" s="3500"/>
      <c r="BY27" s="3500"/>
      <c r="BZ27" s="3500"/>
      <c r="CA27" s="3500"/>
      <c r="CB27" s="3500"/>
      <c r="CC27" s="3392"/>
      <c r="CD27" s="3392"/>
    </row>
    <row r="28" spans="1:99" ht="13.5" customHeight="1">
      <c r="A28" s="3506"/>
      <c r="B28" s="3422" t="s">
        <v>1392</v>
      </c>
      <c r="C28" s="3512" t="s">
        <v>2182</v>
      </c>
      <c r="D28" s="3442" t="s">
        <v>2183</v>
      </c>
      <c r="E28" s="3442"/>
      <c r="F28" s="3502"/>
      <c r="G28" s="3502"/>
      <c r="H28" s="3502"/>
      <c r="I28" s="3502"/>
      <c r="J28" s="3512" t="s">
        <v>2184</v>
      </c>
      <c r="K28" s="3443" t="s">
        <v>2185</v>
      </c>
      <c r="L28" s="3377"/>
      <c r="M28" s="3377"/>
      <c r="N28" s="3377"/>
      <c r="O28" s="3377"/>
      <c r="P28" s="3377"/>
      <c r="Q28" s="3377"/>
      <c r="R28" s="3440"/>
      <c r="S28" s="3500"/>
      <c r="T28" s="3513" t="s">
        <v>2186</v>
      </c>
      <c r="U28" s="3514" t="s">
        <v>1392</v>
      </c>
      <c r="V28" s="3502"/>
      <c r="W28" s="3423" t="s">
        <v>2187</v>
      </c>
      <c r="X28" s="3503"/>
      <c r="AQ28" s="3500"/>
      <c r="AR28" s="3500"/>
      <c r="AS28" s="3500"/>
      <c r="AT28" s="3504"/>
      <c r="AU28" s="3504"/>
      <c r="AV28" s="3504"/>
      <c r="AW28" s="3504"/>
      <c r="AX28" s="3504"/>
      <c r="AY28" s="3515"/>
      <c r="AZ28" s="3515"/>
      <c r="BA28" s="3504"/>
      <c r="BB28" s="3500"/>
      <c r="BC28" s="3500"/>
      <c r="BD28" s="3516"/>
      <c r="BE28" s="3516"/>
      <c r="BF28" s="3516"/>
      <c r="BG28" s="3516"/>
      <c r="BH28" s="3516"/>
      <c r="BI28" s="3516"/>
      <c r="BJ28" s="3516"/>
      <c r="BK28" s="3505"/>
      <c r="BL28" s="3505"/>
      <c r="BM28" s="3505"/>
      <c r="BN28" s="3505"/>
      <c r="BO28" s="3505"/>
      <c r="BP28" s="3517"/>
      <c r="BQ28" s="3518"/>
      <c r="BR28" s="3517"/>
      <c r="BS28" s="3500"/>
      <c r="BT28" s="3500"/>
      <c r="BU28" s="3500"/>
      <c r="BV28" s="3500"/>
      <c r="BW28" s="3500"/>
      <c r="BX28" s="3500"/>
      <c r="BY28" s="3500"/>
      <c r="BZ28" s="3500"/>
      <c r="CA28" s="3500"/>
      <c r="CB28" s="3500"/>
      <c r="CC28" s="3392"/>
      <c r="CD28" s="3392"/>
    </row>
    <row r="29" spans="1:99" ht="33.75" customHeight="1" thickBot="1">
      <c r="A29" s="3506"/>
      <c r="B29" s="3519"/>
      <c r="C29" s="3520"/>
      <c r="D29" s="3509"/>
      <c r="E29" s="3509"/>
      <c r="F29" s="3509"/>
      <c r="G29" s="3509"/>
      <c r="H29" s="3509"/>
      <c r="I29" s="3509"/>
      <c r="J29" s="3509"/>
      <c r="K29" s="3521"/>
      <c r="L29" s="3377"/>
      <c r="M29" s="3377"/>
      <c r="N29" s="3377"/>
      <c r="O29" s="3377"/>
      <c r="P29" s="3377"/>
      <c r="Q29" s="3377"/>
      <c r="R29" s="3440"/>
      <c r="S29" s="3500"/>
      <c r="T29" s="3522"/>
      <c r="U29" s="3523"/>
      <c r="V29" s="3524"/>
      <c r="W29" s="3524"/>
      <c r="X29" s="3525"/>
      <c r="AQ29" s="3500"/>
      <c r="AR29" s="3395"/>
      <c r="AS29" s="3395"/>
      <c r="AT29" s="3504"/>
      <c r="AU29" s="3504"/>
      <c r="AV29" s="3504"/>
      <c r="AW29" s="3504"/>
      <c r="AX29" s="3504"/>
      <c r="AY29" s="3515"/>
      <c r="AZ29" s="3515"/>
      <c r="BA29" s="3504"/>
      <c r="BB29" s="3395"/>
      <c r="BC29" s="3395"/>
      <c r="BD29" s="3516"/>
      <c r="BE29" s="3516"/>
      <c r="BF29" s="3516"/>
      <c r="BG29" s="3516"/>
      <c r="BH29" s="3516"/>
      <c r="BI29" s="3516"/>
      <c r="BJ29" s="3516"/>
      <c r="BK29" s="3526"/>
      <c r="BL29" s="3526"/>
      <c r="BM29" s="3526"/>
      <c r="BN29" s="3526"/>
      <c r="BO29" s="3526"/>
      <c r="BP29" s="3526"/>
      <c r="BQ29" s="3526"/>
      <c r="BR29" s="3526"/>
      <c r="BS29" s="3500"/>
      <c r="BT29" s="3500"/>
      <c r="BU29" s="3500"/>
      <c r="BV29" s="3500"/>
      <c r="BW29" s="3500"/>
      <c r="BX29" s="3500"/>
      <c r="BY29" s="3500"/>
      <c r="BZ29" s="3500"/>
      <c r="CA29" s="3500"/>
      <c r="CB29" s="3500"/>
      <c r="CC29" s="3392"/>
      <c r="CD29" s="3392"/>
    </row>
    <row r="30" spans="1:99" ht="21.75" customHeight="1">
      <c r="A30" s="3527"/>
      <c r="B30" s="3528"/>
      <c r="C30" s="3529"/>
      <c r="D30" s="3530"/>
      <c r="E30" s="3531"/>
      <c r="F30" s="3531"/>
      <c r="G30" s="3531"/>
      <c r="H30" s="3531"/>
      <c r="I30" s="3532"/>
      <c r="J30" s="3533"/>
      <c r="K30" s="3534"/>
      <c r="L30" s="3535"/>
      <c r="M30" s="3536"/>
      <c r="N30" s="3536"/>
      <c r="O30" s="3536"/>
      <c r="P30" s="3536"/>
      <c r="Q30" s="3536"/>
      <c r="R30" s="3537"/>
      <c r="S30" s="3538"/>
      <c r="T30" s="3539"/>
      <c r="U30" s="3540"/>
      <c r="V30" s="3541"/>
      <c r="W30" s="3536"/>
      <c r="X30" s="3503"/>
      <c r="AQ30" s="3538"/>
      <c r="AR30" s="3538"/>
      <c r="AS30" s="3538"/>
      <c r="AT30" s="3538"/>
      <c r="AU30" s="3542"/>
      <c r="AV30" s="3542"/>
      <c r="AW30" s="3542"/>
      <c r="AX30" s="3542"/>
      <c r="AY30" s="3538"/>
      <c r="AZ30" s="3538"/>
      <c r="BA30" s="3538"/>
      <c r="BB30" s="3538"/>
      <c r="BC30" s="3538"/>
      <c r="BD30" s="3543"/>
      <c r="BE30" s="3543"/>
      <c r="BF30" s="3544"/>
      <c r="BG30" s="3544"/>
      <c r="BH30" s="3544"/>
      <c r="BI30" s="3544"/>
      <c r="BJ30" s="3545"/>
      <c r="BK30" s="3545"/>
      <c r="BL30" s="3545"/>
      <c r="BM30" s="3545"/>
      <c r="BN30" s="3545"/>
      <c r="BO30" s="3545"/>
      <c r="BP30" s="3545"/>
      <c r="BQ30" s="3545"/>
      <c r="BR30" s="3545"/>
      <c r="BS30" s="3542"/>
      <c r="BT30" s="3542"/>
      <c r="BU30" s="3542"/>
      <c r="BV30" s="3542"/>
      <c r="BW30" s="3542"/>
      <c r="BX30" s="3542"/>
      <c r="BY30" s="3542"/>
      <c r="BZ30" s="3542"/>
      <c r="CA30" s="3542"/>
      <c r="CB30" s="3542"/>
      <c r="CC30" s="3392"/>
      <c r="CD30" s="3392"/>
    </row>
    <row r="31" spans="1:99" ht="21.75" customHeight="1">
      <c r="A31" s="3546"/>
      <c r="B31" s="3547"/>
      <c r="C31" s="3548"/>
      <c r="D31" s="3549"/>
      <c r="E31" s="3550"/>
      <c r="F31" s="3550"/>
      <c r="G31" s="3550"/>
      <c r="H31" s="3550"/>
      <c r="I31" s="3551"/>
      <c r="J31" s="3552"/>
      <c r="K31" s="3553"/>
      <c r="L31" s="3554"/>
      <c r="M31" s="3555"/>
      <c r="N31" s="3555"/>
      <c r="O31" s="3555"/>
      <c r="P31" s="3555"/>
      <c r="Q31" s="3555"/>
      <c r="R31" s="3556"/>
      <c r="S31" s="3538"/>
      <c r="T31" s="3557"/>
      <c r="U31" s="3558"/>
      <c r="V31" s="3559"/>
      <c r="W31" s="3555"/>
      <c r="X31" s="3560"/>
      <c r="AQ31" s="3538"/>
      <c r="AR31" s="3538"/>
      <c r="AS31" s="3538"/>
      <c r="AT31" s="3538"/>
      <c r="AU31" s="3542"/>
      <c r="AV31" s="3542"/>
      <c r="AW31" s="3542"/>
      <c r="AX31" s="3542"/>
      <c r="AY31" s="3538"/>
      <c r="AZ31" s="3538"/>
      <c r="BA31" s="3538"/>
      <c r="BB31" s="3538"/>
      <c r="BC31" s="3538"/>
      <c r="BD31" s="3543"/>
      <c r="BE31" s="3543"/>
      <c r="BF31" s="3544"/>
      <c r="BG31" s="3544"/>
      <c r="BH31" s="3544"/>
      <c r="BI31" s="3544"/>
      <c r="BJ31" s="3545"/>
      <c r="BK31" s="3545"/>
      <c r="BL31" s="3545"/>
      <c r="BM31" s="3545"/>
      <c r="BN31" s="3545"/>
      <c r="BO31" s="3545"/>
      <c r="BP31" s="3545"/>
      <c r="BQ31" s="3545"/>
      <c r="BR31" s="3545"/>
      <c r="BS31" s="3542"/>
      <c r="BT31" s="3542"/>
      <c r="BU31" s="3542"/>
      <c r="BV31" s="3542"/>
      <c r="BW31" s="3542"/>
      <c r="BX31" s="3542"/>
      <c r="BY31" s="3542"/>
      <c r="BZ31" s="3542"/>
      <c r="CA31" s="3542"/>
      <c r="CB31" s="3542"/>
      <c r="CC31" s="3392"/>
      <c r="CD31" s="3392"/>
    </row>
    <row r="32" spans="1:99" ht="21.75" customHeight="1">
      <c r="A32" s="3546"/>
      <c r="B32" s="3561"/>
      <c r="C32" s="3548"/>
      <c r="D32" s="3562"/>
      <c r="E32" s="3563"/>
      <c r="F32" s="3563"/>
      <c r="G32" s="3563"/>
      <c r="H32" s="3563"/>
      <c r="I32" s="3564"/>
      <c r="J32" s="3565"/>
      <c r="K32" s="3566"/>
      <c r="L32" s="3554"/>
      <c r="M32" s="3555"/>
      <c r="N32" s="3555"/>
      <c r="O32" s="3555"/>
      <c r="P32" s="3555"/>
      <c r="Q32" s="3555"/>
      <c r="R32" s="3556"/>
      <c r="S32" s="3538"/>
      <c r="T32" s="3557"/>
      <c r="U32" s="3558"/>
      <c r="V32" s="3559"/>
      <c r="W32" s="3555"/>
      <c r="X32" s="3560"/>
      <c r="AQ32" s="3538"/>
      <c r="AR32" s="3538"/>
      <c r="AS32" s="3538"/>
      <c r="AT32" s="3538"/>
      <c r="AU32" s="3542"/>
      <c r="AV32" s="3542"/>
      <c r="AW32" s="3542"/>
      <c r="AX32" s="3542"/>
      <c r="AY32" s="3538"/>
      <c r="AZ32" s="3538"/>
      <c r="BA32" s="3538"/>
      <c r="BB32" s="3538"/>
      <c r="BC32" s="3538"/>
      <c r="BD32" s="3543"/>
      <c r="BE32" s="3543"/>
      <c r="BF32" s="3544"/>
      <c r="BG32" s="3544"/>
      <c r="BH32" s="3544"/>
      <c r="BI32" s="3544"/>
      <c r="BJ32" s="3545"/>
      <c r="BK32" s="3545"/>
      <c r="BL32" s="3545"/>
      <c r="BM32" s="3545"/>
      <c r="BN32" s="3545"/>
      <c r="BO32" s="3545"/>
      <c r="BP32" s="3545"/>
      <c r="BQ32" s="3545"/>
      <c r="BR32" s="3545"/>
      <c r="BS32" s="3542"/>
      <c r="BT32" s="3542"/>
      <c r="BU32" s="3542"/>
      <c r="BV32" s="3542"/>
      <c r="BW32" s="3542"/>
      <c r="BX32" s="3542"/>
      <c r="BY32" s="3542"/>
      <c r="BZ32" s="3542"/>
      <c r="CA32" s="3542"/>
      <c r="CB32" s="3542"/>
      <c r="CC32" s="3392"/>
      <c r="CD32" s="3392"/>
    </row>
    <row r="33" spans="1:82" ht="21.75" customHeight="1">
      <c r="A33" s="3546"/>
      <c r="B33" s="3547"/>
      <c r="C33" s="3548"/>
      <c r="D33" s="3562"/>
      <c r="E33" s="3563"/>
      <c r="F33" s="3563"/>
      <c r="G33" s="3563"/>
      <c r="H33" s="3563"/>
      <c r="I33" s="3564"/>
      <c r="J33" s="3552"/>
      <c r="K33" s="3553"/>
      <c r="L33" s="3554"/>
      <c r="M33" s="3555"/>
      <c r="N33" s="3555"/>
      <c r="O33" s="3555"/>
      <c r="P33" s="3555"/>
      <c r="Q33" s="3555"/>
      <c r="R33" s="3556"/>
      <c r="S33" s="3538"/>
      <c r="T33" s="3557"/>
      <c r="U33" s="3558"/>
      <c r="V33" s="3559"/>
      <c r="W33" s="3555"/>
      <c r="X33" s="3560"/>
      <c r="AQ33" s="3538"/>
      <c r="AR33" s="3538"/>
      <c r="AS33" s="3538"/>
      <c r="AT33" s="3538"/>
      <c r="AU33" s="3542"/>
      <c r="AV33" s="3542"/>
      <c r="AW33" s="3542"/>
      <c r="AX33" s="3542"/>
      <c r="AY33" s="3538"/>
      <c r="AZ33" s="3538"/>
      <c r="BA33" s="3538"/>
      <c r="BB33" s="3538"/>
      <c r="BC33" s="3538"/>
      <c r="BD33" s="3543"/>
      <c r="BE33" s="3543"/>
      <c r="BF33" s="3544"/>
      <c r="BG33" s="3544"/>
      <c r="BH33" s="3544"/>
      <c r="BI33" s="3544"/>
      <c r="BJ33" s="3545"/>
      <c r="BK33" s="3545"/>
      <c r="BL33" s="3545"/>
      <c r="BM33" s="3545"/>
      <c r="BN33" s="3545"/>
      <c r="BO33" s="3545"/>
      <c r="BP33" s="3545"/>
      <c r="BQ33" s="3545"/>
      <c r="BR33" s="3545"/>
      <c r="BS33" s="3542"/>
      <c r="BT33" s="3542"/>
      <c r="BU33" s="3542"/>
      <c r="BV33" s="3542"/>
      <c r="BW33" s="3542"/>
      <c r="BX33" s="3542"/>
      <c r="BY33" s="3542"/>
      <c r="BZ33" s="3542"/>
      <c r="CA33" s="3542"/>
      <c r="CB33" s="3542"/>
      <c r="CC33" s="3392"/>
      <c r="CD33" s="3392"/>
    </row>
    <row r="34" spans="1:82" ht="21.75" customHeight="1">
      <c r="A34" s="3546"/>
      <c r="B34" s="3547"/>
      <c r="C34" s="3548"/>
      <c r="D34" s="3562"/>
      <c r="E34" s="3563"/>
      <c r="F34" s="3563"/>
      <c r="G34" s="3563"/>
      <c r="H34" s="3563"/>
      <c r="I34" s="3564"/>
      <c r="J34" s="3552"/>
      <c r="K34" s="3553"/>
      <c r="L34" s="3554"/>
      <c r="M34" s="3555"/>
      <c r="N34" s="3555"/>
      <c r="O34" s="3555"/>
      <c r="P34" s="3555"/>
      <c r="Q34" s="3555"/>
      <c r="R34" s="3556"/>
      <c r="S34" s="3538"/>
      <c r="T34" s="3557"/>
      <c r="U34" s="3558"/>
      <c r="V34" s="3559"/>
      <c r="W34" s="3555"/>
      <c r="X34" s="3560"/>
      <c r="AQ34" s="3538"/>
      <c r="AR34" s="3538"/>
      <c r="AS34" s="3538"/>
      <c r="AT34" s="3538"/>
      <c r="AU34" s="3542"/>
      <c r="AV34" s="3542"/>
      <c r="AW34" s="3542"/>
      <c r="AX34" s="3542"/>
      <c r="AY34" s="3538"/>
      <c r="AZ34" s="3538"/>
      <c r="BA34" s="3538"/>
      <c r="BB34" s="3538"/>
      <c r="BC34" s="3538"/>
      <c r="BD34" s="3543"/>
      <c r="BE34" s="3543"/>
      <c r="BF34" s="3544"/>
      <c r="BG34" s="3544"/>
      <c r="BH34" s="3544"/>
      <c r="BI34" s="3544"/>
      <c r="BJ34" s="3545"/>
      <c r="BK34" s="3545"/>
      <c r="BL34" s="3545"/>
      <c r="BM34" s="3545"/>
      <c r="BN34" s="3545"/>
      <c r="BO34" s="3545"/>
      <c r="BP34" s="3545"/>
      <c r="BQ34" s="3545"/>
      <c r="BR34" s="3545"/>
      <c r="BS34" s="3542"/>
      <c r="BT34" s="3542"/>
      <c r="BU34" s="3542"/>
      <c r="BV34" s="3542"/>
      <c r="BW34" s="3542"/>
      <c r="BX34" s="3542"/>
      <c r="BY34" s="3542"/>
      <c r="BZ34" s="3542"/>
      <c r="CA34" s="3542"/>
      <c r="CB34" s="3542"/>
      <c r="CC34" s="3392"/>
      <c r="CD34" s="3392"/>
    </row>
    <row r="35" spans="1:82" ht="21.75" customHeight="1">
      <c r="A35" s="3546"/>
      <c r="B35" s="3547"/>
      <c r="C35" s="3548"/>
      <c r="D35" s="3549"/>
      <c r="E35" s="3550"/>
      <c r="F35" s="3550"/>
      <c r="G35" s="3550"/>
      <c r="H35" s="3550"/>
      <c r="I35" s="3551"/>
      <c r="J35" s="3552"/>
      <c r="K35" s="3553"/>
      <c r="L35" s="3554"/>
      <c r="M35" s="3555"/>
      <c r="N35" s="3555"/>
      <c r="O35" s="3555"/>
      <c r="P35" s="3555"/>
      <c r="Q35" s="3555"/>
      <c r="R35" s="3556"/>
      <c r="S35" s="3538"/>
      <c r="T35" s="3557"/>
      <c r="U35" s="3558"/>
      <c r="V35" s="3559"/>
      <c r="W35" s="3555"/>
      <c r="X35" s="3560"/>
      <c r="AQ35" s="3538"/>
      <c r="AR35" s="3538"/>
      <c r="AS35" s="3538"/>
      <c r="AT35" s="3538"/>
      <c r="AU35" s="3542"/>
      <c r="AV35" s="3542"/>
      <c r="AW35" s="3542"/>
      <c r="AX35" s="3542"/>
      <c r="AY35" s="3538"/>
      <c r="AZ35" s="3538"/>
      <c r="BA35" s="3538"/>
      <c r="BB35" s="3538"/>
      <c r="BC35" s="3538"/>
      <c r="BD35" s="3543"/>
      <c r="BE35" s="3543"/>
      <c r="BF35" s="3544"/>
      <c r="BG35" s="3544"/>
      <c r="BH35" s="3544"/>
      <c r="BI35" s="3544"/>
      <c r="BJ35" s="3545"/>
      <c r="BK35" s="3545"/>
      <c r="BL35" s="3545"/>
      <c r="BM35" s="3545"/>
      <c r="BN35" s="3545"/>
      <c r="BO35" s="3545"/>
      <c r="BP35" s="3545"/>
      <c r="BQ35" s="3545"/>
      <c r="BR35" s="3545"/>
      <c r="BS35" s="3542"/>
      <c r="BT35" s="3542"/>
      <c r="BU35" s="3542"/>
      <c r="BV35" s="3542"/>
      <c r="BW35" s="3542"/>
      <c r="BX35" s="3542"/>
      <c r="BY35" s="3542"/>
      <c r="BZ35" s="3542"/>
      <c r="CA35" s="3542"/>
      <c r="CB35" s="3542"/>
      <c r="CC35" s="3392"/>
      <c r="CD35" s="3392"/>
    </row>
    <row r="36" spans="1:82" ht="21.75" customHeight="1">
      <c r="A36" s="3546"/>
      <c r="B36" s="3547"/>
      <c r="C36" s="3548"/>
      <c r="D36" s="3562"/>
      <c r="E36" s="3563"/>
      <c r="F36" s="3563"/>
      <c r="G36" s="3563"/>
      <c r="H36" s="3563"/>
      <c r="I36" s="3564"/>
      <c r="J36" s="3552"/>
      <c r="K36" s="3553"/>
      <c r="L36" s="3554"/>
      <c r="M36" s="3555"/>
      <c r="N36" s="3555"/>
      <c r="O36" s="3555"/>
      <c r="P36" s="3555"/>
      <c r="Q36" s="3555"/>
      <c r="R36" s="3556"/>
      <c r="S36" s="3538"/>
      <c r="T36" s="3557"/>
      <c r="U36" s="3558"/>
      <c r="V36" s="3559"/>
      <c r="W36" s="3555"/>
      <c r="X36" s="3560"/>
      <c r="AQ36" s="3538"/>
      <c r="AR36" s="3538"/>
      <c r="AS36" s="3538"/>
      <c r="AT36" s="3538"/>
      <c r="AU36" s="3542"/>
      <c r="AV36" s="3542"/>
      <c r="AW36" s="3542"/>
      <c r="AX36" s="3542"/>
      <c r="AY36" s="3538"/>
      <c r="AZ36" s="3538"/>
      <c r="BA36" s="3538"/>
      <c r="BB36" s="3538"/>
      <c r="BC36" s="3538"/>
      <c r="BD36" s="3543"/>
      <c r="BE36" s="3543"/>
      <c r="BF36" s="3544"/>
      <c r="BG36" s="3544"/>
      <c r="BH36" s="3544"/>
      <c r="BI36" s="3544"/>
      <c r="BJ36" s="3545"/>
      <c r="BK36" s="3545"/>
      <c r="BL36" s="3545"/>
      <c r="BM36" s="3545"/>
      <c r="BN36" s="3545"/>
      <c r="BO36" s="3545"/>
      <c r="BP36" s="3545"/>
      <c r="BQ36" s="3545"/>
      <c r="BR36" s="3545"/>
      <c r="BS36" s="3542"/>
      <c r="BT36" s="3542"/>
      <c r="BU36" s="3542"/>
      <c r="BV36" s="3542"/>
      <c r="BW36" s="3542"/>
      <c r="BX36" s="3542"/>
      <c r="BY36" s="3542"/>
      <c r="BZ36" s="3542"/>
      <c r="CA36" s="3542"/>
      <c r="CB36" s="3542"/>
      <c r="CC36" s="3392"/>
      <c r="CD36" s="3392"/>
    </row>
    <row r="37" spans="1:82" ht="21.75" customHeight="1">
      <c r="A37" s="3546"/>
      <c r="B37" s="3547"/>
      <c r="C37" s="3548"/>
      <c r="D37" s="3567"/>
      <c r="E37" s="3568"/>
      <c r="F37" s="3568"/>
      <c r="G37" s="3568"/>
      <c r="H37" s="3568"/>
      <c r="I37" s="3569"/>
      <c r="J37" s="3552"/>
      <c r="K37" s="3553"/>
      <c r="L37" s="3554"/>
      <c r="M37" s="3555"/>
      <c r="N37" s="3555"/>
      <c r="O37" s="3555"/>
      <c r="P37" s="3555"/>
      <c r="Q37" s="3555"/>
      <c r="R37" s="3556"/>
      <c r="S37" s="3538"/>
      <c r="T37" s="3557"/>
      <c r="U37" s="3558"/>
      <c r="V37" s="3559"/>
      <c r="W37" s="3555"/>
      <c r="X37" s="3560"/>
      <c r="AQ37" s="3538"/>
      <c r="AR37" s="3538"/>
      <c r="AS37" s="3538"/>
      <c r="AT37" s="3538"/>
      <c r="AU37" s="3542"/>
      <c r="AV37" s="3542"/>
      <c r="AW37" s="3542"/>
      <c r="AX37" s="3542"/>
      <c r="AY37" s="3538"/>
      <c r="AZ37" s="3538"/>
      <c r="BA37" s="3538"/>
      <c r="BB37" s="3538"/>
      <c r="BC37" s="3538"/>
      <c r="BD37" s="3543"/>
      <c r="BE37" s="3543"/>
      <c r="BF37" s="3544"/>
      <c r="BG37" s="3544"/>
      <c r="BH37" s="3544"/>
      <c r="BI37" s="3544"/>
      <c r="BJ37" s="3545"/>
      <c r="BK37" s="3545"/>
      <c r="BL37" s="3545"/>
      <c r="BM37" s="3545"/>
      <c r="BN37" s="3545"/>
      <c r="BO37" s="3545"/>
      <c r="BP37" s="3545"/>
      <c r="BQ37" s="3545"/>
      <c r="BR37" s="3545"/>
      <c r="BS37" s="3542"/>
      <c r="BT37" s="3542"/>
      <c r="BU37" s="3542"/>
      <c r="BV37" s="3542"/>
      <c r="BW37" s="3542"/>
      <c r="BX37" s="3542"/>
      <c r="BY37" s="3542"/>
      <c r="BZ37" s="3542"/>
      <c r="CA37" s="3542"/>
      <c r="CB37" s="3542"/>
      <c r="CC37" s="3392"/>
      <c r="CD37" s="3392"/>
    </row>
    <row r="38" spans="1:82" ht="21.75" customHeight="1">
      <c r="A38" s="3546"/>
      <c r="B38" s="3547"/>
      <c r="C38" s="3548"/>
      <c r="D38" s="3567"/>
      <c r="E38" s="3568"/>
      <c r="F38" s="3568"/>
      <c r="G38" s="3568"/>
      <c r="H38" s="3568"/>
      <c r="I38" s="3569"/>
      <c r="J38" s="3552"/>
      <c r="K38" s="3553"/>
      <c r="L38" s="3554"/>
      <c r="M38" s="3555"/>
      <c r="N38" s="3555"/>
      <c r="O38" s="3555"/>
      <c r="P38" s="3555"/>
      <c r="Q38" s="3555"/>
      <c r="R38" s="3556"/>
      <c r="S38" s="3538"/>
      <c r="T38" s="3557"/>
      <c r="U38" s="3558"/>
      <c r="V38" s="3559"/>
      <c r="W38" s="3555"/>
      <c r="X38" s="3560"/>
      <c r="AQ38" s="3538"/>
      <c r="AR38" s="3538"/>
      <c r="AS38" s="3538"/>
      <c r="AT38" s="3538"/>
      <c r="AU38" s="3538"/>
      <c r="AV38" s="3538"/>
      <c r="AW38" s="3538"/>
      <c r="AX38" s="3538"/>
      <c r="AY38" s="3538"/>
      <c r="AZ38" s="3538"/>
      <c r="BA38" s="3538"/>
      <c r="BB38" s="3538"/>
      <c r="BC38" s="3538"/>
      <c r="BD38" s="3570"/>
      <c r="BE38" s="3570"/>
      <c r="BF38" s="3545"/>
      <c r="BG38" s="3545"/>
      <c r="BH38" s="3545"/>
      <c r="BI38" s="3545"/>
      <c r="BJ38" s="3545"/>
      <c r="BK38" s="3545"/>
      <c r="BL38" s="3545"/>
      <c r="BM38" s="3545"/>
      <c r="BN38" s="3545"/>
      <c r="BO38" s="3545"/>
      <c r="BP38" s="3545"/>
      <c r="BQ38" s="3545"/>
      <c r="BR38" s="3545"/>
      <c r="BS38" s="3538"/>
      <c r="BT38" s="3538"/>
      <c r="BU38" s="3538"/>
      <c r="BV38" s="3538"/>
      <c r="BW38" s="3538"/>
      <c r="BX38" s="3538"/>
      <c r="BY38" s="3538"/>
      <c r="BZ38" s="3538"/>
      <c r="CA38" s="3538"/>
      <c r="CB38" s="3538"/>
      <c r="CC38" s="3392"/>
      <c r="CD38" s="3392"/>
    </row>
    <row r="39" spans="1:82" ht="21.75" customHeight="1">
      <c r="A39" s="3571"/>
      <c r="B39" s="3547"/>
      <c r="C39" s="3548"/>
      <c r="D39" s="3567"/>
      <c r="E39" s="3568"/>
      <c r="F39" s="3568"/>
      <c r="G39" s="3568"/>
      <c r="H39" s="3568"/>
      <c r="I39" s="3569"/>
      <c r="J39" s="3552"/>
      <c r="K39" s="3553"/>
      <c r="L39" s="3554"/>
      <c r="M39" s="3555"/>
      <c r="N39" s="3555"/>
      <c r="O39" s="3555"/>
      <c r="P39" s="3555"/>
      <c r="Q39" s="3555"/>
      <c r="R39" s="3556"/>
      <c r="S39" s="3538"/>
      <c r="T39" s="3572"/>
      <c r="U39" s="3573"/>
      <c r="V39" s="3574"/>
      <c r="W39" s="3471"/>
      <c r="X39" s="3575"/>
      <c r="AQ39" s="3538"/>
      <c r="AR39" s="3538"/>
      <c r="AS39" s="3538"/>
      <c r="AT39" s="3538"/>
      <c r="AU39" s="3538"/>
      <c r="AV39" s="3538"/>
      <c r="AW39" s="3538"/>
      <c r="AX39" s="3538"/>
      <c r="AY39" s="3538"/>
      <c r="AZ39" s="3538"/>
      <c r="BA39" s="3538"/>
      <c r="BB39" s="3538"/>
      <c r="BC39" s="3538"/>
      <c r="BD39" s="3570"/>
      <c r="BE39" s="3570"/>
      <c r="BF39" s="3545"/>
      <c r="BG39" s="3545"/>
      <c r="BH39" s="3545"/>
      <c r="BI39" s="3545"/>
      <c r="BJ39" s="3545"/>
      <c r="BK39" s="3545"/>
      <c r="BL39" s="3545"/>
      <c r="BM39" s="3545"/>
      <c r="BN39" s="3545"/>
      <c r="BO39" s="3545"/>
      <c r="BP39" s="3545"/>
      <c r="BQ39" s="3545"/>
      <c r="BR39" s="3545"/>
      <c r="BS39" s="3538"/>
      <c r="BT39" s="3538"/>
      <c r="BU39" s="3538"/>
      <c r="BV39" s="3538"/>
      <c r="BW39" s="3538"/>
      <c r="BX39" s="3538"/>
      <c r="BY39" s="3538"/>
      <c r="BZ39" s="3538"/>
      <c r="CA39" s="3538"/>
      <c r="CB39" s="3538"/>
      <c r="CC39" s="3392"/>
      <c r="CD39" s="3392"/>
    </row>
    <row r="40" spans="1:82" ht="21.75" customHeight="1">
      <c r="A40" s="3546"/>
      <c r="B40" s="3576"/>
      <c r="C40" s="3548"/>
      <c r="D40" s="3562"/>
      <c r="E40" s="3563"/>
      <c r="F40" s="3563"/>
      <c r="G40" s="3563"/>
      <c r="H40" s="3563"/>
      <c r="I40" s="3564"/>
      <c r="J40" s="3552"/>
      <c r="K40" s="3553"/>
      <c r="L40" s="3554"/>
      <c r="M40" s="3555"/>
      <c r="N40" s="3555"/>
      <c r="O40" s="3555"/>
      <c r="P40" s="3555"/>
      <c r="Q40" s="3555"/>
      <c r="R40" s="3556"/>
      <c r="S40" s="3538"/>
      <c r="T40" s="3572"/>
      <c r="U40" s="3577"/>
      <c r="V40" s="3578"/>
      <c r="W40" s="3471"/>
      <c r="X40" s="3575"/>
      <c r="AQ40" s="3538"/>
      <c r="AR40" s="3538"/>
      <c r="AS40" s="3538"/>
      <c r="AT40" s="3538"/>
      <c r="AU40" s="3542"/>
      <c r="AV40" s="3542"/>
      <c r="AW40" s="3542"/>
      <c r="AX40" s="3542"/>
      <c r="AY40" s="3538"/>
      <c r="AZ40" s="3538"/>
      <c r="BA40" s="3538"/>
      <c r="BB40" s="3538"/>
      <c r="BC40" s="3538"/>
      <c r="BD40" s="3543"/>
      <c r="BE40" s="3543"/>
      <c r="BF40" s="3544"/>
      <c r="BG40" s="3544"/>
      <c r="BH40" s="3544"/>
      <c r="BI40" s="3544"/>
      <c r="BJ40" s="3545"/>
      <c r="BK40" s="3545"/>
      <c r="BL40" s="3545"/>
      <c r="BM40" s="3545"/>
      <c r="BN40" s="3545"/>
      <c r="BO40" s="3545"/>
      <c r="BP40" s="3545"/>
      <c r="BQ40" s="3545"/>
      <c r="BR40" s="3545"/>
      <c r="BS40" s="3542"/>
      <c r="BT40" s="3542"/>
      <c r="BU40" s="3542"/>
      <c r="BV40" s="3542"/>
      <c r="BW40" s="3542"/>
      <c r="BX40" s="3542"/>
      <c r="BY40" s="3542"/>
      <c r="BZ40" s="3542"/>
      <c r="CA40" s="3542"/>
      <c r="CB40" s="3542"/>
      <c r="CC40" s="3392"/>
      <c r="CD40" s="3392"/>
    </row>
    <row r="41" spans="1:82" ht="21.75" customHeight="1">
      <c r="A41" s="3546"/>
      <c r="B41" s="3576"/>
      <c r="C41" s="3548"/>
      <c r="D41" s="3579"/>
      <c r="E41" s="3580"/>
      <c r="F41" s="3580"/>
      <c r="G41" s="3580"/>
      <c r="H41" s="3580"/>
      <c r="I41" s="3581"/>
      <c r="J41" s="3552"/>
      <c r="K41" s="3553"/>
      <c r="L41" s="3554"/>
      <c r="M41" s="3555"/>
      <c r="N41" s="3555"/>
      <c r="O41" s="3555"/>
      <c r="P41" s="3555"/>
      <c r="Q41" s="3555"/>
      <c r="R41" s="3556"/>
      <c r="S41" s="3538"/>
      <c r="T41" s="3572"/>
      <c r="U41" s="3582"/>
      <c r="V41" s="3583"/>
      <c r="W41" s="3584"/>
      <c r="X41" s="3585"/>
      <c r="AQ41" s="3538"/>
      <c r="AR41" s="3538"/>
      <c r="AS41" s="3538"/>
      <c r="AT41" s="3538"/>
      <c r="AU41" s="3542"/>
      <c r="AV41" s="3542"/>
      <c r="AW41" s="3542"/>
      <c r="AX41" s="3542"/>
      <c r="AY41" s="3538"/>
      <c r="AZ41" s="3538"/>
      <c r="BA41" s="3538"/>
      <c r="BB41" s="3538"/>
      <c r="BC41" s="3538"/>
      <c r="BD41" s="3543"/>
      <c r="BE41" s="3543"/>
      <c r="BF41" s="3544"/>
      <c r="BG41" s="3544"/>
      <c r="BH41" s="3544"/>
      <c r="BI41" s="3544"/>
      <c r="BJ41" s="3545"/>
      <c r="BK41" s="3545"/>
      <c r="BL41" s="3545"/>
      <c r="BM41" s="3545"/>
      <c r="BN41" s="3545"/>
      <c r="BO41" s="3545"/>
      <c r="BP41" s="3545"/>
      <c r="BQ41" s="3545"/>
      <c r="BR41" s="3545"/>
      <c r="BS41" s="3542"/>
      <c r="BT41" s="3542"/>
      <c r="BU41" s="3542"/>
      <c r="BV41" s="3542"/>
      <c r="BW41" s="3542"/>
      <c r="BX41" s="3542"/>
      <c r="BY41" s="3542"/>
      <c r="BZ41" s="3542"/>
      <c r="CA41" s="3542"/>
      <c r="CB41" s="3542"/>
      <c r="CC41" s="3392"/>
      <c r="CD41" s="3392"/>
    </row>
    <row r="42" spans="1:82" ht="21.75" customHeight="1">
      <c r="A42" s="3546"/>
      <c r="B42" s="3576"/>
      <c r="C42" s="3548"/>
      <c r="D42" s="3579"/>
      <c r="E42" s="3580"/>
      <c r="F42" s="3580"/>
      <c r="G42" s="3580"/>
      <c r="H42" s="3580"/>
      <c r="I42" s="3581"/>
      <c r="J42" s="3552"/>
      <c r="K42" s="3553"/>
      <c r="L42" s="3554"/>
      <c r="M42" s="3555"/>
      <c r="N42" s="3555"/>
      <c r="O42" s="3555"/>
      <c r="P42" s="3555"/>
      <c r="Q42" s="3555"/>
      <c r="R42" s="3556"/>
      <c r="S42" s="3538"/>
      <c r="T42" s="3572"/>
      <c r="U42" s="3582"/>
      <c r="V42" s="3583"/>
      <c r="W42" s="3584"/>
      <c r="X42" s="3585"/>
      <c r="AQ42" s="3538"/>
      <c r="AR42" s="3538"/>
      <c r="AS42" s="3538"/>
      <c r="AT42" s="3538"/>
      <c r="AU42" s="3542"/>
      <c r="AV42" s="3542"/>
      <c r="AW42" s="3542"/>
      <c r="AX42" s="3542"/>
      <c r="AY42" s="3538"/>
      <c r="AZ42" s="3538"/>
      <c r="BA42" s="3538"/>
      <c r="BB42" s="3538"/>
      <c r="BC42" s="3538"/>
      <c r="BD42" s="3543"/>
      <c r="BE42" s="3543"/>
      <c r="BF42" s="3544"/>
      <c r="BG42" s="3544"/>
      <c r="BH42" s="3544"/>
      <c r="BI42" s="3544"/>
      <c r="BJ42" s="3545"/>
      <c r="BK42" s="3545"/>
      <c r="BL42" s="3545"/>
      <c r="BM42" s="3545"/>
      <c r="BN42" s="3545"/>
      <c r="BO42" s="3545"/>
      <c r="BP42" s="3545"/>
      <c r="BQ42" s="3545"/>
      <c r="BR42" s="3545"/>
      <c r="BS42" s="3542"/>
      <c r="BT42" s="3542"/>
      <c r="BU42" s="3542"/>
      <c r="BV42" s="3542"/>
      <c r="BW42" s="3542"/>
      <c r="BX42" s="3542"/>
      <c r="BY42" s="3542"/>
      <c r="BZ42" s="3542"/>
      <c r="CA42" s="3542"/>
      <c r="CB42" s="3542"/>
      <c r="CC42" s="3392"/>
      <c r="CD42" s="3392"/>
    </row>
    <row r="43" spans="1:82" ht="21.75" customHeight="1">
      <c r="A43" s="3546"/>
      <c r="B43" s="3576"/>
      <c r="C43" s="3548"/>
      <c r="D43" s="3562"/>
      <c r="E43" s="3563"/>
      <c r="F43" s="3563"/>
      <c r="G43" s="3563"/>
      <c r="H43" s="3563"/>
      <c r="I43" s="3564"/>
      <c r="J43" s="3552"/>
      <c r="K43" s="3553"/>
      <c r="L43" s="3554"/>
      <c r="M43" s="3555"/>
      <c r="N43" s="3555"/>
      <c r="O43" s="3555"/>
      <c r="P43" s="3555"/>
      <c r="Q43" s="3555"/>
      <c r="R43" s="3556"/>
      <c r="S43" s="3538"/>
      <c r="T43" s="3586"/>
      <c r="U43" s="3577"/>
      <c r="V43" s="3578"/>
      <c r="W43" s="3584"/>
      <c r="X43" s="3585"/>
      <c r="AQ43" s="3538"/>
      <c r="AR43" s="3538"/>
      <c r="AS43" s="3538"/>
      <c r="AT43" s="3538"/>
      <c r="AU43" s="3542"/>
      <c r="AV43" s="3542"/>
      <c r="AW43" s="3542"/>
      <c r="AX43" s="3542"/>
      <c r="AY43" s="3538"/>
      <c r="AZ43" s="3538"/>
      <c r="BA43" s="3538"/>
      <c r="BB43" s="3538"/>
      <c r="BC43" s="3538"/>
      <c r="BD43" s="3543"/>
      <c r="BE43" s="3543"/>
      <c r="BF43" s="3544"/>
      <c r="BG43" s="3544"/>
      <c r="BH43" s="3544"/>
      <c r="BI43" s="3544"/>
      <c r="BJ43" s="3545"/>
      <c r="BK43" s="3545"/>
      <c r="BL43" s="3545"/>
      <c r="BM43" s="3545"/>
      <c r="BN43" s="3545"/>
      <c r="BO43" s="3545"/>
      <c r="BP43" s="3545"/>
      <c r="BQ43" s="3545"/>
      <c r="BR43" s="3545"/>
      <c r="BS43" s="3542"/>
      <c r="BT43" s="3542"/>
      <c r="BU43" s="3542"/>
      <c r="BV43" s="3542"/>
      <c r="BW43" s="3542"/>
      <c r="BX43" s="3542"/>
      <c r="BY43" s="3542"/>
      <c r="BZ43" s="3542"/>
      <c r="CA43" s="3542"/>
      <c r="CB43" s="3542"/>
      <c r="CC43" s="3392"/>
      <c r="CD43" s="3392"/>
    </row>
    <row r="44" spans="1:82" ht="21.75" customHeight="1">
      <c r="A44" s="3546"/>
      <c r="B44" s="3576"/>
      <c r="C44" s="3548"/>
      <c r="D44" s="3562"/>
      <c r="E44" s="3563"/>
      <c r="F44" s="3563"/>
      <c r="G44" s="3563"/>
      <c r="H44" s="3563"/>
      <c r="I44" s="3564"/>
      <c r="J44" s="3552"/>
      <c r="K44" s="3553"/>
      <c r="L44" s="3554"/>
      <c r="M44" s="3555"/>
      <c r="N44" s="3555"/>
      <c r="O44" s="3555"/>
      <c r="P44" s="3555"/>
      <c r="Q44" s="3555"/>
      <c r="R44" s="3556"/>
      <c r="S44" s="3538"/>
      <c r="T44" s="3586"/>
      <c r="U44" s="3577"/>
      <c r="V44" s="3578"/>
      <c r="W44" s="3584"/>
      <c r="X44" s="3585"/>
      <c r="AQ44" s="3538"/>
      <c r="AR44" s="3538"/>
      <c r="AS44" s="3538"/>
      <c r="AT44" s="3538"/>
      <c r="AU44" s="3542"/>
      <c r="AV44" s="3542"/>
      <c r="AW44" s="3542"/>
      <c r="AX44" s="3542"/>
      <c r="AY44" s="3538"/>
      <c r="AZ44" s="3538"/>
      <c r="BA44" s="3538"/>
      <c r="BB44" s="3538"/>
      <c r="BC44" s="3538"/>
      <c r="BD44" s="3543"/>
      <c r="BE44" s="3543"/>
      <c r="BF44" s="3544"/>
      <c r="BG44" s="3544"/>
      <c r="BH44" s="3544"/>
      <c r="BI44" s="3544"/>
      <c r="BJ44" s="3545"/>
      <c r="BK44" s="3545"/>
      <c r="BL44" s="3545"/>
      <c r="BM44" s="3545"/>
      <c r="BN44" s="3545"/>
      <c r="BO44" s="3545"/>
      <c r="BP44" s="3545"/>
      <c r="BQ44" s="3545"/>
      <c r="BR44" s="3545"/>
      <c r="BS44" s="3542"/>
      <c r="BT44" s="3542"/>
      <c r="BU44" s="3542"/>
      <c r="BV44" s="3542"/>
      <c r="BW44" s="3542"/>
      <c r="BX44" s="3542"/>
      <c r="BY44" s="3542"/>
      <c r="BZ44" s="3542"/>
      <c r="CA44" s="3542"/>
      <c r="CB44" s="3542"/>
      <c r="CC44" s="3392"/>
      <c r="CD44" s="3392"/>
    </row>
    <row r="45" spans="1:82" ht="21.75" customHeight="1">
      <c r="A45" s="3546"/>
      <c r="B45" s="3576"/>
      <c r="C45" s="3548"/>
      <c r="D45" s="3562"/>
      <c r="E45" s="3563"/>
      <c r="F45" s="3563"/>
      <c r="G45" s="3563"/>
      <c r="H45" s="3563"/>
      <c r="I45" s="3564"/>
      <c r="J45" s="3552"/>
      <c r="K45" s="3553"/>
      <c r="L45" s="3554"/>
      <c r="M45" s="3555"/>
      <c r="N45" s="3555"/>
      <c r="O45" s="3555"/>
      <c r="P45" s="3555"/>
      <c r="Q45" s="3555"/>
      <c r="R45" s="3556"/>
      <c r="S45" s="3538"/>
      <c r="T45" s="3586"/>
      <c r="U45" s="3577"/>
      <c r="V45" s="3578"/>
      <c r="W45" s="3584"/>
      <c r="X45" s="3585"/>
      <c r="AQ45" s="3538"/>
      <c r="AR45" s="3538"/>
      <c r="AS45" s="3538"/>
      <c r="AT45" s="3538"/>
      <c r="AU45" s="3542"/>
      <c r="AV45" s="3542"/>
      <c r="AW45" s="3542"/>
      <c r="AX45" s="3542"/>
      <c r="AY45" s="3538"/>
      <c r="AZ45" s="3538"/>
      <c r="BA45" s="3538"/>
      <c r="BB45" s="3538"/>
      <c r="BC45" s="3538"/>
      <c r="BD45" s="3543"/>
      <c r="BE45" s="3543"/>
      <c r="BF45" s="3544"/>
      <c r="BG45" s="3544"/>
      <c r="BH45" s="3544"/>
      <c r="BI45" s="3544"/>
      <c r="BJ45" s="3545"/>
      <c r="BK45" s="3545"/>
      <c r="BL45" s="3545"/>
      <c r="BM45" s="3545"/>
      <c r="BN45" s="3545"/>
      <c r="BO45" s="3545"/>
      <c r="BP45" s="3545"/>
      <c r="BQ45" s="3545"/>
      <c r="BR45" s="3545"/>
      <c r="BS45" s="3542"/>
      <c r="BT45" s="3542"/>
      <c r="BU45" s="3542"/>
      <c r="BV45" s="3542"/>
      <c r="BW45" s="3542"/>
      <c r="BX45" s="3542"/>
      <c r="BY45" s="3542"/>
      <c r="BZ45" s="3542"/>
      <c r="CA45" s="3542"/>
      <c r="CB45" s="3542"/>
      <c r="CC45" s="3392"/>
      <c r="CD45" s="3392"/>
    </row>
    <row r="46" spans="1:82" ht="21.75" customHeight="1">
      <c r="A46" s="3587"/>
      <c r="B46" s="3588"/>
      <c r="C46" s="3548"/>
      <c r="D46" s="3562"/>
      <c r="E46" s="3563"/>
      <c r="F46" s="3563"/>
      <c r="G46" s="3563"/>
      <c r="H46" s="3563"/>
      <c r="I46" s="3564"/>
      <c r="J46" s="3548"/>
      <c r="K46" s="3589"/>
      <c r="L46" s="3554"/>
      <c r="M46" s="3555"/>
      <c r="N46" s="3555"/>
      <c r="O46" s="3555"/>
      <c r="P46" s="3555"/>
      <c r="Q46" s="3555"/>
      <c r="R46" s="3556"/>
      <c r="S46" s="3538"/>
      <c r="T46" s="3586"/>
      <c r="U46" s="3577"/>
      <c r="V46" s="3578"/>
      <c r="W46" s="3584"/>
      <c r="X46" s="3585"/>
      <c r="AQ46" s="3538"/>
      <c r="AR46" s="3538"/>
      <c r="AS46" s="3538"/>
      <c r="AT46" s="3538"/>
      <c r="AU46" s="3542"/>
      <c r="AV46" s="3542"/>
      <c r="AW46" s="3542"/>
      <c r="AX46" s="3542"/>
      <c r="AY46" s="3538"/>
      <c r="AZ46" s="3538"/>
      <c r="BA46" s="3538"/>
      <c r="BB46" s="3538"/>
      <c r="BC46" s="3538"/>
      <c r="BD46" s="3543"/>
      <c r="BE46" s="3543"/>
      <c r="BF46" s="3544"/>
      <c r="BG46" s="3544"/>
      <c r="BH46" s="3544"/>
      <c r="BI46" s="3544"/>
      <c r="BJ46" s="3545"/>
      <c r="BK46" s="3545"/>
      <c r="BL46" s="3545"/>
      <c r="BM46" s="3545"/>
      <c r="BN46" s="3545"/>
      <c r="BO46" s="3545"/>
      <c r="BP46" s="3545"/>
      <c r="BQ46" s="3545"/>
      <c r="BR46" s="3545"/>
      <c r="BS46" s="3542"/>
      <c r="BT46" s="3542"/>
      <c r="BU46" s="3542"/>
      <c r="BV46" s="3542"/>
      <c r="BW46" s="3542"/>
      <c r="BX46" s="3542"/>
      <c r="BY46" s="3542"/>
      <c r="BZ46" s="3542"/>
      <c r="CA46" s="3542"/>
      <c r="CB46" s="3542"/>
      <c r="CC46" s="3392"/>
      <c r="CD46" s="3392"/>
    </row>
    <row r="47" spans="1:82" ht="21.75" customHeight="1" thickBot="1">
      <c r="A47" s="3590"/>
      <c r="B47" s="3591"/>
      <c r="C47" s="3592"/>
      <c r="D47" s="3593"/>
      <c r="E47" s="3593"/>
      <c r="F47" s="3593"/>
      <c r="G47" s="3593"/>
      <c r="H47" s="3593"/>
      <c r="I47" s="3593"/>
      <c r="J47" s="3592"/>
      <c r="K47" s="3594"/>
      <c r="L47" s="3595"/>
      <c r="M47" s="3596"/>
      <c r="N47" s="3596"/>
      <c r="O47" s="3596"/>
      <c r="P47" s="3596"/>
      <c r="Q47" s="3596"/>
      <c r="R47" s="3597"/>
      <c r="S47" s="3538"/>
      <c r="T47" s="3598"/>
      <c r="U47" s="3599"/>
      <c r="V47" s="3600"/>
      <c r="W47" s="3450"/>
      <c r="X47" s="3451"/>
      <c r="AQ47" s="3538"/>
      <c r="AR47" s="3538"/>
      <c r="AS47" s="3538"/>
      <c r="AT47" s="3538"/>
      <c r="AU47" s="3538"/>
      <c r="AV47" s="3538"/>
      <c r="AW47" s="3538"/>
      <c r="AX47" s="3538"/>
      <c r="AY47" s="3538"/>
      <c r="AZ47" s="3538"/>
      <c r="BA47" s="3538"/>
      <c r="BB47" s="3538"/>
      <c r="BC47" s="3538"/>
      <c r="BD47" s="3570"/>
      <c r="BE47" s="3570"/>
      <c r="BF47" s="3545"/>
      <c r="BG47" s="3545"/>
      <c r="BH47" s="3545"/>
      <c r="BI47" s="3545"/>
      <c r="BJ47" s="3545"/>
      <c r="BK47" s="3545"/>
      <c r="BL47" s="3545"/>
      <c r="BM47" s="3545"/>
      <c r="BN47" s="3545"/>
      <c r="BO47" s="3545"/>
      <c r="BP47" s="3545"/>
      <c r="BQ47" s="3545"/>
      <c r="BR47" s="3545"/>
      <c r="BS47" s="3538"/>
      <c r="BT47" s="3538"/>
      <c r="BU47" s="3538"/>
      <c r="BV47" s="3538"/>
      <c r="BW47" s="3538"/>
      <c r="BX47" s="3538"/>
      <c r="BY47" s="3538"/>
      <c r="BZ47" s="3538"/>
      <c r="CA47" s="3538"/>
      <c r="CB47" s="3538"/>
      <c r="CC47" s="3392"/>
      <c r="CD47" s="3392"/>
    </row>
    <row r="48" spans="1:82" ht="13.5" customHeight="1" thickBot="1">
      <c r="A48" s="3392"/>
      <c r="B48" s="3382"/>
      <c r="C48" s="3538"/>
      <c r="D48" s="3538"/>
      <c r="E48" s="3538"/>
      <c r="F48" s="3538"/>
      <c r="G48" s="3538"/>
      <c r="H48" s="3538"/>
      <c r="I48" s="3538"/>
      <c r="J48" s="3538"/>
      <c r="K48" s="3538"/>
      <c r="L48" s="3538"/>
      <c r="M48" s="3538"/>
      <c r="N48" s="3538"/>
      <c r="O48" s="3538"/>
      <c r="P48" s="3538"/>
      <c r="Q48" s="3538"/>
      <c r="R48" s="3538"/>
      <c r="S48" s="3538"/>
      <c r="T48" s="3382"/>
      <c r="U48" s="3601"/>
      <c r="V48" s="3601"/>
      <c r="W48" s="3500"/>
      <c r="X48" s="3602"/>
      <c r="AQ48" s="3538"/>
      <c r="AR48" s="3538"/>
      <c r="AS48" s="3538"/>
      <c r="AT48" s="3538"/>
      <c r="AU48" s="3538"/>
      <c r="AV48" s="3538"/>
      <c r="AW48" s="3538"/>
      <c r="AX48" s="3538"/>
      <c r="AY48" s="3538"/>
      <c r="AZ48" s="3538"/>
      <c r="BA48" s="3538"/>
      <c r="BB48" s="3538"/>
      <c r="BC48" s="3538"/>
      <c r="BD48" s="3570"/>
      <c r="BE48" s="3570"/>
      <c r="BF48" s="3545"/>
      <c r="BG48" s="3545"/>
      <c r="BH48" s="3545"/>
      <c r="BI48" s="3545"/>
      <c r="BJ48" s="3545"/>
      <c r="BK48" s="3545"/>
      <c r="BL48" s="3545"/>
      <c r="BM48" s="3545"/>
      <c r="BN48" s="3545"/>
      <c r="BO48" s="3545"/>
      <c r="BP48" s="3545"/>
      <c r="BQ48" s="3545"/>
      <c r="BR48" s="3545"/>
      <c r="BS48" s="3538"/>
      <c r="BT48" s="3538"/>
      <c r="BU48" s="3538"/>
      <c r="BV48" s="3538"/>
      <c r="BW48" s="3538"/>
      <c r="BX48" s="3538"/>
      <c r="BY48" s="3538"/>
      <c r="BZ48" s="3538"/>
      <c r="CA48" s="3538"/>
      <c r="CB48" s="3538"/>
      <c r="CC48" s="3392"/>
      <c r="CD48" s="3392"/>
    </row>
    <row r="49" spans="1:26" ht="14.25" customHeight="1">
      <c r="A49" s="3603" t="s">
        <v>2178</v>
      </c>
      <c r="B49" s="3425" t="s">
        <v>2188</v>
      </c>
      <c r="C49" s="3426"/>
      <c r="E49" s="3604" t="s">
        <v>2178</v>
      </c>
      <c r="F49" s="3605" t="s">
        <v>2189</v>
      </c>
      <c r="G49" s="3606"/>
      <c r="H49" s="3606"/>
      <c r="I49" s="3606"/>
      <c r="J49" s="3606"/>
      <c r="K49" s="3606"/>
      <c r="L49" s="3606"/>
      <c r="M49" s="3606"/>
      <c r="N49" s="3606"/>
      <c r="O49" s="3607"/>
      <c r="P49" s="3608"/>
      <c r="Q49" s="3609" t="s">
        <v>2190</v>
      </c>
      <c r="R49" s="3606" t="s">
        <v>2191</v>
      </c>
      <c r="S49" s="3606"/>
      <c r="T49" s="3606"/>
      <c r="U49" s="3606"/>
      <c r="V49" s="3606"/>
      <c r="W49" s="3606"/>
      <c r="X49" s="3607"/>
    </row>
    <row r="50" spans="1:26" ht="22.5" customHeight="1" thickBot="1">
      <c r="A50" s="3610"/>
      <c r="B50" s="3611"/>
      <c r="C50" s="3612"/>
      <c r="E50" s="3613"/>
      <c r="F50" s="3614"/>
      <c r="G50" s="3615"/>
      <c r="H50" s="3615"/>
      <c r="I50" s="3615"/>
      <c r="J50" s="3615"/>
      <c r="K50" s="3615"/>
      <c r="L50" s="3615"/>
      <c r="M50" s="3615"/>
      <c r="N50" s="3615"/>
      <c r="O50" s="3616"/>
      <c r="P50" s="3617"/>
      <c r="Q50" s="3618"/>
      <c r="R50" s="3615"/>
      <c r="S50" s="3615"/>
      <c r="T50" s="3619"/>
      <c r="U50" s="3619"/>
      <c r="V50" s="3619"/>
      <c r="W50" s="3615"/>
      <c r="X50" s="3616"/>
    </row>
    <row r="51" spans="1:26" ht="18" customHeight="1">
      <c r="A51" s="3610"/>
      <c r="B51" s="3620" t="s">
        <v>1392</v>
      </c>
      <c r="C51" s="3620" t="s">
        <v>2192</v>
      </c>
      <c r="E51" s="3613"/>
      <c r="F51" s="3621" t="s">
        <v>1392</v>
      </c>
      <c r="G51" s="3622" t="s">
        <v>2193</v>
      </c>
      <c r="H51" s="3504"/>
      <c r="I51" s="3504"/>
      <c r="J51" s="3504"/>
      <c r="K51" s="3623" t="s">
        <v>2194</v>
      </c>
      <c r="L51" s="3624" t="s">
        <v>2195</v>
      </c>
      <c r="N51" s="3625"/>
      <c r="O51" s="3623" t="s">
        <v>2196</v>
      </c>
      <c r="P51" s="3626"/>
      <c r="Q51" s="3627"/>
      <c r="R51" s="3496" t="s">
        <v>2197</v>
      </c>
      <c r="S51" s="3382"/>
      <c r="T51" s="3628"/>
      <c r="U51" s="3629"/>
      <c r="V51" s="3630" t="s">
        <v>2198</v>
      </c>
      <c r="W51" s="3631"/>
      <c r="X51" s="3632"/>
    </row>
    <row r="52" spans="1:26" ht="21" customHeight="1" thickBot="1">
      <c r="A52" s="3633"/>
      <c r="B52" s="3634"/>
      <c r="C52" s="3634"/>
      <c r="E52" s="3613"/>
      <c r="F52" s="3621"/>
      <c r="G52" s="3622"/>
      <c r="H52" s="3504"/>
      <c r="I52" s="3504"/>
      <c r="J52" s="3504"/>
      <c r="K52" s="3623"/>
      <c r="L52" s="3635" t="s">
        <v>2199</v>
      </c>
      <c r="M52" s="3636" t="s">
        <v>2200</v>
      </c>
      <c r="N52" s="3636" t="s">
        <v>2201</v>
      </c>
      <c r="O52" s="3637"/>
      <c r="P52" s="3626"/>
      <c r="Q52" s="3638"/>
      <c r="R52" s="3639" t="s">
        <v>33</v>
      </c>
      <c r="S52" s="3640"/>
      <c r="T52" s="3641" t="s">
        <v>990</v>
      </c>
      <c r="U52" s="3641" t="s">
        <v>991</v>
      </c>
      <c r="V52" s="3641" t="s">
        <v>2202</v>
      </c>
      <c r="W52" s="3641" t="s">
        <v>993</v>
      </c>
      <c r="X52" s="3642" t="s">
        <v>994</v>
      </c>
    </row>
    <row r="53" spans="1:26" ht="20.25" customHeight="1" thickBot="1">
      <c r="A53" s="3643"/>
      <c r="B53" s="3644"/>
      <c r="C53" s="3645"/>
      <c r="E53" s="3646"/>
      <c r="F53" s="3647"/>
      <c r="G53" s="3648"/>
      <c r="H53" s="3648"/>
      <c r="I53" s="3648"/>
      <c r="J53" s="3648"/>
      <c r="K53" s="3649"/>
      <c r="L53" s="3649"/>
      <c r="M53" s="3649"/>
      <c r="N53" s="3650"/>
      <c r="O53" s="3651"/>
      <c r="P53" s="3626"/>
      <c r="Q53" s="3638"/>
      <c r="R53" s="3652" t="s">
        <v>820</v>
      </c>
      <c r="S53" s="3653"/>
      <c r="T53" s="3654" t="s">
        <v>990</v>
      </c>
      <c r="U53" s="3654" t="s">
        <v>991</v>
      </c>
      <c r="V53" s="3654" t="s">
        <v>2202</v>
      </c>
      <c r="W53" s="3654" t="s">
        <v>993</v>
      </c>
      <c r="X53" s="3655" t="s">
        <v>994</v>
      </c>
      <c r="Z53" s="3656"/>
    </row>
    <row r="54" spans="1:26" ht="20.25" customHeight="1">
      <c r="A54" s="3657"/>
      <c r="B54" s="3658"/>
      <c r="C54" s="3659"/>
      <c r="E54" s="3660"/>
      <c r="F54" s="3661"/>
      <c r="G54" s="3662"/>
      <c r="H54" s="3662"/>
      <c r="I54" s="3662"/>
      <c r="J54" s="3662"/>
      <c r="K54" s="3663"/>
      <c r="L54" s="3663"/>
      <c r="M54" s="3663"/>
      <c r="N54" s="3664"/>
      <c r="O54" s="3651"/>
      <c r="P54" s="3665"/>
      <c r="Q54" s="3638"/>
      <c r="R54" s="3666" t="s">
        <v>2197</v>
      </c>
      <c r="S54" s="3667"/>
      <c r="T54" s="3628"/>
      <c r="U54" s="3629"/>
      <c r="V54" s="3668" t="s">
        <v>2198</v>
      </c>
      <c r="W54" s="3669"/>
      <c r="X54" s="3670"/>
      <c r="Y54" s="3391"/>
    </row>
    <row r="55" spans="1:26" ht="20.25" customHeight="1">
      <c r="A55" s="3657"/>
      <c r="B55" s="3658"/>
      <c r="C55" s="3659"/>
      <c r="E55" s="3671"/>
      <c r="F55" s="3661"/>
      <c r="G55" s="3662"/>
      <c r="H55" s="3662"/>
      <c r="I55" s="3662"/>
      <c r="J55" s="3662"/>
      <c r="K55" s="3663"/>
      <c r="L55" s="3663"/>
      <c r="M55" s="3663"/>
      <c r="N55" s="3664"/>
      <c r="O55" s="3651"/>
      <c r="P55" s="3665"/>
      <c r="Q55" s="3638"/>
      <c r="R55" s="3672" t="s">
        <v>33</v>
      </c>
      <c r="S55" s="3673"/>
      <c r="T55" s="3641" t="s">
        <v>990</v>
      </c>
      <c r="U55" s="3641" t="s">
        <v>991</v>
      </c>
      <c r="V55" s="3641" t="s">
        <v>2202</v>
      </c>
      <c r="W55" s="3641" t="s">
        <v>993</v>
      </c>
      <c r="X55" s="3674" t="s">
        <v>994</v>
      </c>
    </row>
    <row r="56" spans="1:26" ht="20.25" customHeight="1" thickBot="1">
      <c r="A56" s="3657"/>
      <c r="B56" s="3658"/>
      <c r="C56" s="3659"/>
      <c r="E56" s="3657"/>
      <c r="F56" s="3658"/>
      <c r="G56" s="3584"/>
      <c r="H56" s="3584"/>
      <c r="I56" s="3584"/>
      <c r="J56" s="3584"/>
      <c r="K56" s="3675"/>
      <c r="L56" s="3676"/>
      <c r="M56" s="3676"/>
      <c r="N56" s="3589"/>
      <c r="O56" s="3677"/>
      <c r="P56" s="3665"/>
      <c r="Q56" s="3638"/>
      <c r="R56" s="3652" t="s">
        <v>820</v>
      </c>
      <c r="S56" s="3653"/>
      <c r="T56" s="3654" t="s">
        <v>990</v>
      </c>
      <c r="U56" s="3654" t="s">
        <v>991</v>
      </c>
      <c r="V56" s="3654" t="s">
        <v>2202</v>
      </c>
      <c r="W56" s="3654" t="s">
        <v>993</v>
      </c>
      <c r="X56" s="3655" t="s">
        <v>994</v>
      </c>
      <c r="Y56" s="3656"/>
    </row>
    <row r="57" spans="1:26" ht="20.25" customHeight="1">
      <c r="A57" s="3657"/>
      <c r="B57" s="3658"/>
      <c r="C57" s="3659"/>
      <c r="E57" s="3657"/>
      <c r="F57" s="3658"/>
      <c r="G57" s="3584"/>
      <c r="H57" s="3584"/>
      <c r="I57" s="3584"/>
      <c r="J57" s="3584"/>
      <c r="K57" s="3675"/>
      <c r="L57" s="3676"/>
      <c r="M57" s="3676"/>
      <c r="N57" s="3589"/>
      <c r="O57" s="3677"/>
      <c r="P57" s="3665"/>
      <c r="Q57" s="3638"/>
      <c r="R57" s="3678" t="s">
        <v>2197</v>
      </c>
      <c r="S57" s="3667"/>
      <c r="T57" s="3679"/>
      <c r="U57" s="3680"/>
      <c r="V57" s="3681" t="s">
        <v>2198</v>
      </c>
      <c r="W57" s="3682"/>
      <c r="X57" s="3683"/>
    </row>
    <row r="58" spans="1:26" ht="20.25" customHeight="1">
      <c r="A58" s="3657"/>
      <c r="B58" s="3658"/>
      <c r="C58" s="3659"/>
      <c r="E58" s="3657"/>
      <c r="F58" s="3658"/>
      <c r="G58" s="3584"/>
      <c r="H58" s="3584"/>
      <c r="I58" s="3584"/>
      <c r="J58" s="3584"/>
      <c r="K58" s="3675"/>
      <c r="L58" s="3676"/>
      <c r="M58" s="3676"/>
      <c r="N58" s="3589"/>
      <c r="O58" s="3677"/>
      <c r="P58" s="3665"/>
      <c r="Q58" s="3638"/>
      <c r="R58" s="3684" t="s">
        <v>33</v>
      </c>
      <c r="S58" s="3685"/>
      <c r="T58" s="3686" t="s">
        <v>990</v>
      </c>
      <c r="U58" s="3686" t="s">
        <v>991</v>
      </c>
      <c r="V58" s="3686" t="s">
        <v>2202</v>
      </c>
      <c r="W58" s="3686" t="s">
        <v>993</v>
      </c>
      <c r="X58" s="3687" t="s">
        <v>994</v>
      </c>
    </row>
    <row r="59" spans="1:26" ht="21.75" customHeight="1" thickBot="1">
      <c r="A59" s="3657"/>
      <c r="B59" s="3658"/>
      <c r="C59" s="3659"/>
      <c r="E59" s="3657"/>
      <c r="F59" s="3658"/>
      <c r="G59" s="3584"/>
      <c r="H59" s="3584"/>
      <c r="I59" s="3584"/>
      <c r="J59" s="3584"/>
      <c r="K59" s="3675"/>
      <c r="L59" s="3676"/>
      <c r="M59" s="3676"/>
      <c r="N59" s="3589"/>
      <c r="O59" s="3677"/>
      <c r="Q59" s="3688"/>
      <c r="R59" s="3652" t="s">
        <v>820</v>
      </c>
      <c r="S59" s="3653"/>
      <c r="T59" s="3654" t="s">
        <v>990</v>
      </c>
      <c r="U59" s="3654" t="s">
        <v>991</v>
      </c>
      <c r="V59" s="3654" t="s">
        <v>2202</v>
      </c>
      <c r="W59" s="3654" t="s">
        <v>993</v>
      </c>
      <c r="X59" s="3655" t="s">
        <v>994</v>
      </c>
    </row>
    <row r="60" spans="1:26" ht="20.25" customHeight="1">
      <c r="A60" s="3657"/>
      <c r="B60" s="3658"/>
      <c r="C60" s="3659"/>
      <c r="E60" s="3657"/>
      <c r="F60" s="3658"/>
      <c r="G60" s="3689"/>
      <c r="H60" s="3690"/>
      <c r="I60" s="3690"/>
      <c r="J60" s="3691"/>
      <c r="K60" s="3675"/>
      <c r="L60" s="3676"/>
      <c r="M60" s="3676"/>
      <c r="N60" s="3589"/>
      <c r="O60" s="3677"/>
      <c r="P60" s="3692"/>
      <c r="Q60" s="3693"/>
      <c r="R60" s="3693"/>
      <c r="S60" s="3693"/>
      <c r="T60" s="3693"/>
      <c r="U60" s="3693"/>
      <c r="V60" s="3693"/>
      <c r="W60" s="3693"/>
      <c r="X60" s="3693"/>
    </row>
    <row r="61" spans="1:26" ht="20.25" customHeight="1">
      <c r="A61" s="3694"/>
      <c r="B61" s="3695"/>
      <c r="C61" s="3696"/>
      <c r="E61" s="3694"/>
      <c r="F61" s="3695"/>
      <c r="G61" s="3689"/>
      <c r="H61" s="3690"/>
      <c r="I61" s="3690"/>
      <c r="J61" s="3691"/>
      <c r="K61" s="3697"/>
      <c r="L61" s="3698"/>
      <c r="M61" s="3698"/>
      <c r="N61" s="3699"/>
      <c r="O61" s="3700"/>
      <c r="P61" s="3701" t="s">
        <v>2203</v>
      </c>
      <c r="Q61" s="3702"/>
      <c r="R61" s="3702"/>
      <c r="S61" s="3702"/>
      <c r="T61" s="3702"/>
      <c r="U61" s="3702"/>
      <c r="V61" s="3702"/>
      <c r="W61" s="3702"/>
      <c r="X61" s="3702"/>
    </row>
    <row r="62" spans="1:26" ht="21" customHeight="1" thickBot="1">
      <c r="A62" s="3703"/>
      <c r="B62" s="3704"/>
      <c r="C62" s="3705"/>
      <c r="E62" s="3703"/>
      <c r="F62" s="3704"/>
      <c r="G62" s="3450"/>
      <c r="H62" s="3450"/>
      <c r="I62" s="3450"/>
      <c r="J62" s="3450"/>
      <c r="K62" s="3706"/>
      <c r="L62" s="3707"/>
      <c r="M62" s="3707"/>
      <c r="N62" s="3594"/>
      <c r="O62" s="3708"/>
    </row>
    <row r="63" spans="1:26" ht="21" customHeight="1">
      <c r="A63" s="3709"/>
      <c r="B63" s="3702"/>
      <c r="C63" s="3702"/>
      <c r="D63" s="3702"/>
      <c r="E63" s="3702"/>
      <c r="F63" s="3702"/>
      <c r="G63" s="3702"/>
      <c r="H63" s="3702"/>
      <c r="I63" s="3702"/>
      <c r="J63" s="3702"/>
      <c r="K63" s="3702"/>
      <c r="L63" s="3702"/>
      <c r="M63" s="3702"/>
      <c r="N63" s="3702"/>
      <c r="O63" s="3702"/>
      <c r="P63" s="3702"/>
      <c r="Q63" s="3702"/>
      <c r="R63" s="3702"/>
      <c r="S63" s="3702"/>
      <c r="T63" s="3702"/>
      <c r="U63" s="3702"/>
      <c r="V63" s="3702"/>
      <c r="W63" s="3702"/>
      <c r="X63" s="3702"/>
    </row>
    <row r="66" spans="19:27" ht="12.75" customHeight="1">
      <c r="S66" s="3617"/>
      <c r="T66" s="3617"/>
      <c r="U66" s="3617"/>
      <c r="V66" s="3617"/>
      <c r="W66" s="3617"/>
      <c r="X66" s="3617"/>
      <c r="Y66" s="3617"/>
      <c r="Z66" s="3392"/>
      <c r="AA66" s="3392"/>
    </row>
    <row r="67" spans="19:27" ht="13.5" customHeight="1">
      <c r="S67" s="3617"/>
      <c r="T67" s="3617"/>
      <c r="U67" s="3617"/>
      <c r="V67" s="3617"/>
      <c r="W67" s="3617"/>
      <c r="X67" s="3617"/>
      <c r="Y67" s="3617"/>
      <c r="Z67" s="3392"/>
      <c r="AA67" s="3392"/>
    </row>
  </sheetData>
  <sheetProtection sheet="1" objects="1" scenarios="1"/>
  <mergeCells count="299">
    <mergeCell ref="G60:J60"/>
    <mergeCell ref="G61:J61"/>
    <mergeCell ref="P61:X61"/>
    <mergeCell ref="G62:J62"/>
    <mergeCell ref="A63:X63"/>
    <mergeCell ref="G57:J57"/>
    <mergeCell ref="Q57:Q59"/>
    <mergeCell ref="T57:U57"/>
    <mergeCell ref="G58:J58"/>
    <mergeCell ref="R58:S58"/>
    <mergeCell ref="G59:J59"/>
    <mergeCell ref="G54:J54"/>
    <mergeCell ref="Q54:Q56"/>
    <mergeCell ref="T54:U54"/>
    <mergeCell ref="G55:J55"/>
    <mergeCell ref="R55:S55"/>
    <mergeCell ref="G56:J56"/>
    <mergeCell ref="K51:K52"/>
    <mergeCell ref="O51:O52"/>
    <mergeCell ref="Q51:Q53"/>
    <mergeCell ref="T51:U51"/>
    <mergeCell ref="R52:S52"/>
    <mergeCell ref="G53:J53"/>
    <mergeCell ref="A49:A52"/>
    <mergeCell ref="B49:C50"/>
    <mergeCell ref="E49:E52"/>
    <mergeCell ref="F49:O50"/>
    <mergeCell ref="Q49:Q50"/>
    <mergeCell ref="R49:X50"/>
    <mergeCell ref="B51:B52"/>
    <mergeCell ref="C51:C52"/>
    <mergeCell ref="F51:F52"/>
    <mergeCell ref="G51:J52"/>
    <mergeCell ref="BF46:BI46"/>
    <mergeCell ref="BS46:CB46"/>
    <mergeCell ref="D47:I47"/>
    <mergeCell ref="L47:R47"/>
    <mergeCell ref="U47:V47"/>
    <mergeCell ref="W47:X47"/>
    <mergeCell ref="D46:I46"/>
    <mergeCell ref="L46:R46"/>
    <mergeCell ref="U46:V46"/>
    <mergeCell ref="W46:X46"/>
    <mergeCell ref="AU46:AX46"/>
    <mergeCell ref="BD46:BE46"/>
    <mergeCell ref="BF44:BI44"/>
    <mergeCell ref="BS44:CB44"/>
    <mergeCell ref="D45:I45"/>
    <mergeCell ref="L45:R45"/>
    <mergeCell ref="U45:V45"/>
    <mergeCell ref="W45:X45"/>
    <mergeCell ref="AU45:AX45"/>
    <mergeCell ref="BD45:BE45"/>
    <mergeCell ref="BF45:BI45"/>
    <mergeCell ref="BS45:CB45"/>
    <mergeCell ref="D44:I44"/>
    <mergeCell ref="L44:R44"/>
    <mergeCell ref="U44:V44"/>
    <mergeCell ref="W44:X44"/>
    <mergeCell ref="AU44:AX44"/>
    <mergeCell ref="BD44:BE44"/>
    <mergeCell ref="BF42:BI42"/>
    <mergeCell ref="BS42:CB42"/>
    <mergeCell ref="D43:I43"/>
    <mergeCell ref="L43:R43"/>
    <mergeCell ref="U43:V43"/>
    <mergeCell ref="W43:X43"/>
    <mergeCell ref="AU43:AX43"/>
    <mergeCell ref="BD43:BE43"/>
    <mergeCell ref="BF43:BI43"/>
    <mergeCell ref="BS43:CB43"/>
    <mergeCell ref="D42:I42"/>
    <mergeCell ref="L42:R42"/>
    <mergeCell ref="U42:V42"/>
    <mergeCell ref="W42:X42"/>
    <mergeCell ref="AU42:AX42"/>
    <mergeCell ref="BD42:BE42"/>
    <mergeCell ref="BF40:BI40"/>
    <mergeCell ref="BS40:CB40"/>
    <mergeCell ref="D41:I41"/>
    <mergeCell ref="L41:R41"/>
    <mergeCell ref="U41:V41"/>
    <mergeCell ref="W41:X41"/>
    <mergeCell ref="AU41:AX41"/>
    <mergeCell ref="BD41:BE41"/>
    <mergeCell ref="BF41:BI41"/>
    <mergeCell ref="BS41:CB41"/>
    <mergeCell ref="D40:I40"/>
    <mergeCell ref="L40:R40"/>
    <mergeCell ref="U40:V40"/>
    <mergeCell ref="W40:X40"/>
    <mergeCell ref="AU40:AX40"/>
    <mergeCell ref="BD40:BE40"/>
    <mergeCell ref="D38:I38"/>
    <mergeCell ref="L38:R38"/>
    <mergeCell ref="U38:V38"/>
    <mergeCell ref="W38:X38"/>
    <mergeCell ref="D39:I39"/>
    <mergeCell ref="L39:R39"/>
    <mergeCell ref="U39:V39"/>
    <mergeCell ref="W39:X39"/>
    <mergeCell ref="BF36:BI36"/>
    <mergeCell ref="BS36:CB36"/>
    <mergeCell ref="D37:I37"/>
    <mergeCell ref="L37:R37"/>
    <mergeCell ref="U37:V37"/>
    <mergeCell ref="W37:X37"/>
    <mergeCell ref="AU37:AX37"/>
    <mergeCell ref="BD37:BE37"/>
    <mergeCell ref="BF37:BI37"/>
    <mergeCell ref="BS37:CB37"/>
    <mergeCell ref="D36:I36"/>
    <mergeCell ref="L36:R36"/>
    <mergeCell ref="U36:V36"/>
    <mergeCell ref="W36:X36"/>
    <mergeCell ref="AU36:AX36"/>
    <mergeCell ref="BD36:BE36"/>
    <mergeCell ref="BF34:BI34"/>
    <mergeCell ref="BS34:CB34"/>
    <mergeCell ref="D35:I35"/>
    <mergeCell ref="L35:R35"/>
    <mergeCell ref="U35:V35"/>
    <mergeCell ref="W35:X35"/>
    <mergeCell ref="AU35:AX35"/>
    <mergeCell ref="BD35:BE35"/>
    <mergeCell ref="BF35:BI35"/>
    <mergeCell ref="BS35:CB35"/>
    <mergeCell ref="D34:I34"/>
    <mergeCell ref="L34:R34"/>
    <mergeCell ref="U34:V34"/>
    <mergeCell ref="W34:X34"/>
    <mergeCell ref="AU34:AX34"/>
    <mergeCell ref="BD34:BE34"/>
    <mergeCell ref="BF32:BI32"/>
    <mergeCell ref="BS32:CB32"/>
    <mergeCell ref="D33:I33"/>
    <mergeCell ref="L33:R33"/>
    <mergeCell ref="U33:V33"/>
    <mergeCell ref="W33:X33"/>
    <mergeCell ref="AU33:AX33"/>
    <mergeCell ref="BD33:BE33"/>
    <mergeCell ref="BF33:BI33"/>
    <mergeCell ref="BS33:CB33"/>
    <mergeCell ref="D32:I32"/>
    <mergeCell ref="L32:R32"/>
    <mergeCell ref="U32:V32"/>
    <mergeCell ref="W32:X32"/>
    <mergeCell ref="AU32:AX32"/>
    <mergeCell ref="BD32:BE32"/>
    <mergeCell ref="BF30:BI30"/>
    <mergeCell ref="BS30:CB30"/>
    <mergeCell ref="D31:I31"/>
    <mergeCell ref="L31:R31"/>
    <mergeCell ref="U31:V31"/>
    <mergeCell ref="W31:X31"/>
    <mergeCell ref="AU31:AX31"/>
    <mergeCell ref="BD31:BE31"/>
    <mergeCell ref="BF31:BI31"/>
    <mergeCell ref="BS31:CB31"/>
    <mergeCell ref="BD28:BE29"/>
    <mergeCell ref="BF28:BI29"/>
    <mergeCell ref="BJ28:BJ29"/>
    <mergeCell ref="BK28:BO28"/>
    <mergeCell ref="D30:I30"/>
    <mergeCell ref="L30:R30"/>
    <mergeCell ref="U30:V30"/>
    <mergeCell ref="W30:X30"/>
    <mergeCell ref="AU30:AX30"/>
    <mergeCell ref="BD30:BE30"/>
    <mergeCell ref="BP26:BR26"/>
    <mergeCell ref="B28:B29"/>
    <mergeCell ref="C28:C29"/>
    <mergeCell ref="D28:I29"/>
    <mergeCell ref="J28:J29"/>
    <mergeCell ref="K28:K29"/>
    <mergeCell ref="T28:T29"/>
    <mergeCell ref="U28:V29"/>
    <mergeCell ref="W28:X29"/>
    <mergeCell ref="AT28:AT29"/>
    <mergeCell ref="A26:A29"/>
    <mergeCell ref="B26:K27"/>
    <mergeCell ref="L26:R29"/>
    <mergeCell ref="T26:X27"/>
    <mergeCell ref="AT26:BA27"/>
    <mergeCell ref="BD26:BO27"/>
    <mergeCell ref="AU28:AX29"/>
    <mergeCell ref="AY28:AY29"/>
    <mergeCell ref="AZ28:AZ29"/>
    <mergeCell ref="BA28:BA29"/>
    <mergeCell ref="M24:N24"/>
    <mergeCell ref="O24:P24"/>
    <mergeCell ref="Q24:R24"/>
    <mergeCell ref="S24:T24"/>
    <mergeCell ref="U24:V24"/>
    <mergeCell ref="W24:X24"/>
    <mergeCell ref="O23:P23"/>
    <mergeCell ref="Q23:R23"/>
    <mergeCell ref="S23:T23"/>
    <mergeCell ref="U23:V23"/>
    <mergeCell ref="W23:X23"/>
    <mergeCell ref="B24:C24"/>
    <mergeCell ref="D24:F24"/>
    <mergeCell ref="G24:H24"/>
    <mergeCell ref="I24:J24"/>
    <mergeCell ref="K24:L24"/>
    <mergeCell ref="B23:C23"/>
    <mergeCell ref="D23:F23"/>
    <mergeCell ref="G23:H23"/>
    <mergeCell ref="I23:J23"/>
    <mergeCell ref="K23:L23"/>
    <mergeCell ref="M23:N23"/>
    <mergeCell ref="M22:N22"/>
    <mergeCell ref="O22:P22"/>
    <mergeCell ref="Q22:R22"/>
    <mergeCell ref="S22:T22"/>
    <mergeCell ref="U22:V22"/>
    <mergeCell ref="W22:X22"/>
    <mergeCell ref="O21:P21"/>
    <mergeCell ref="Q21:R21"/>
    <mergeCell ref="S21:T21"/>
    <mergeCell ref="U21:V21"/>
    <mergeCell ref="W21:X21"/>
    <mergeCell ref="B22:C22"/>
    <mergeCell ref="D22:F22"/>
    <mergeCell ref="G22:H22"/>
    <mergeCell ref="I22:J22"/>
    <mergeCell ref="K22:L22"/>
    <mergeCell ref="Q20:R20"/>
    <mergeCell ref="S20:T20"/>
    <mergeCell ref="U20:V20"/>
    <mergeCell ref="W20:X20"/>
    <mergeCell ref="B21:C21"/>
    <mergeCell ref="D21:F21"/>
    <mergeCell ref="G21:H21"/>
    <mergeCell ref="I21:J21"/>
    <mergeCell ref="K21:L21"/>
    <mergeCell ref="M21:N21"/>
    <mergeCell ref="S19:T19"/>
    <mergeCell ref="U19:V19"/>
    <mergeCell ref="W19:X19"/>
    <mergeCell ref="B20:C20"/>
    <mergeCell ref="D20:F20"/>
    <mergeCell ref="G20:H20"/>
    <mergeCell ref="I20:J20"/>
    <mergeCell ref="K20:L20"/>
    <mergeCell ref="M20:N20"/>
    <mergeCell ref="O20:P20"/>
    <mergeCell ref="U18:V18"/>
    <mergeCell ref="W18:X18"/>
    <mergeCell ref="B19:C19"/>
    <mergeCell ref="D19:F19"/>
    <mergeCell ref="G19:H19"/>
    <mergeCell ref="I19:J19"/>
    <mergeCell ref="K19:L19"/>
    <mergeCell ref="M19:N19"/>
    <mergeCell ref="O19:P19"/>
    <mergeCell ref="Q19:R19"/>
    <mergeCell ref="W16:X17"/>
    <mergeCell ref="B18:C18"/>
    <mergeCell ref="D18:F18"/>
    <mergeCell ref="G18:H18"/>
    <mergeCell ref="I18:J18"/>
    <mergeCell ref="K18:L18"/>
    <mergeCell ref="M18:N18"/>
    <mergeCell ref="O18:P18"/>
    <mergeCell ref="Q18:R18"/>
    <mergeCell ref="S18:T18"/>
    <mergeCell ref="K16:L17"/>
    <mergeCell ref="M16:N17"/>
    <mergeCell ref="O16:P17"/>
    <mergeCell ref="Q16:R17"/>
    <mergeCell ref="S16:T17"/>
    <mergeCell ref="U16:V17"/>
    <mergeCell ref="A13:X13"/>
    <mergeCell ref="B14:H14"/>
    <mergeCell ref="A15:A17"/>
    <mergeCell ref="B15:C17"/>
    <mergeCell ref="D15:F17"/>
    <mergeCell ref="G15:H17"/>
    <mergeCell ref="I15:L15"/>
    <mergeCell ref="M15:P15"/>
    <mergeCell ref="Q15:X15"/>
    <mergeCell ref="I16:J17"/>
    <mergeCell ref="BT7:CA7"/>
    <mergeCell ref="A8:M8"/>
    <mergeCell ref="A9:M9"/>
    <mergeCell ref="A10:M10"/>
    <mergeCell ref="A11:M11"/>
    <mergeCell ref="A12:M12"/>
    <mergeCell ref="A1:N1"/>
    <mergeCell ref="O1:X1"/>
    <mergeCell ref="A3:M3"/>
    <mergeCell ref="O3:X12"/>
    <mergeCell ref="BD3:BQ14"/>
    <mergeCell ref="BX3:BZ3"/>
    <mergeCell ref="A4:M4"/>
    <mergeCell ref="BX4:BZ4"/>
    <mergeCell ref="A5:M5"/>
    <mergeCell ref="A7:M7"/>
  </mergeCells>
  <pageMargins left="0.55118110236220474" right="0.19685039370078741" top="0.43307086614173229" bottom="0" header="0.15748031496062992" footer="0.15748031496062992"/>
  <pageSetup paperSize="8" scale="95" orientation="portrait" r:id="rId1"/>
  <headerFooter alignWithMargins="0"/>
  <rowBreaks count="1" manualBreakCount="1">
    <brk id="58" max="16383" man="1"/>
  </rowBreaks>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IV23"/>
  <sheetViews>
    <sheetView showZeros="0" zoomScale="80" zoomScaleNormal="80" zoomScalePageLayoutView="80" workbookViewId="0">
      <selection activeCell="H1" sqref="H1"/>
    </sheetView>
  </sheetViews>
  <sheetFormatPr baseColWidth="10" defaultColWidth="12.7109375" defaultRowHeight="20.25" customHeight="1"/>
  <cols>
    <col min="1" max="1" width="10.28515625" style="485" customWidth="1"/>
    <col min="2" max="2" width="11.42578125" style="485" customWidth="1"/>
    <col min="3" max="3" width="36.85546875" style="485" customWidth="1"/>
    <col min="4" max="4" width="6.140625" style="485" customWidth="1"/>
    <col min="5" max="5" width="13.85546875" style="485" customWidth="1"/>
    <col min="6" max="6" width="2.28515625" style="485" customWidth="1"/>
    <col min="7" max="7" width="17.140625" style="485" customWidth="1"/>
    <col min="8" max="9" width="27" style="485" customWidth="1"/>
    <col min="10" max="10" width="20.28515625" style="486" customWidth="1"/>
    <col min="11" max="11" width="63" style="486" customWidth="1"/>
    <col min="12" max="15" width="12.7109375" style="486"/>
    <col min="16" max="16384" width="12.7109375" style="485"/>
  </cols>
  <sheetData>
    <row r="1" spans="1:256" ht="62.25" customHeight="1">
      <c r="A1" s="2850" t="s">
        <v>1727</v>
      </c>
      <c r="B1" s="2850"/>
      <c r="C1" s="2850"/>
      <c r="D1" s="2850"/>
      <c r="E1" s="2850"/>
      <c r="F1" s="487"/>
      <c r="G1"/>
      <c r="H1" s="488" t="s">
        <v>413</v>
      </c>
      <c r="I1" s="1752" t="s">
        <v>414</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ustomHeight="1">
      <c r="A2" s="489"/>
      <c r="B2" s="489"/>
      <c r="C2" s="490"/>
      <c r="D2" s="489"/>
      <c r="E2" s="491"/>
      <c r="F2" s="487"/>
      <c r="G2" s="487"/>
      <c r="H2" s="487"/>
      <c r="I2" s="487"/>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492" t="s">
        <v>415</v>
      </c>
      <c r="B3" s="1473"/>
      <c r="C3" s="1474"/>
      <c r="D3" s="493"/>
      <c r="E3" s="494" t="s">
        <v>416</v>
      </c>
      <c r="F3" s="487"/>
      <c r="G3" s="487"/>
      <c r="H3" s="487"/>
      <c r="I3" s="487"/>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492" t="s">
        <v>417</v>
      </c>
      <c r="B4" s="2851"/>
      <c r="C4" s="2851"/>
      <c r="D4" s="487"/>
      <c r="E4" s="1476">
        <v>2017</v>
      </c>
      <c r="F4" s="487"/>
      <c r="G4" s="487"/>
      <c r="H4" s="487"/>
      <c r="I4" s="49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s="492" t="s">
        <v>418</v>
      </c>
      <c r="B5" s="2851"/>
      <c r="C5" s="2851"/>
      <c r="D5" s="487"/>
      <c r="E5"/>
      <c r="F5" s="487"/>
      <c r="G5"/>
      <c r="H5"/>
      <c r="I5" s="49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492" t="s">
        <v>419</v>
      </c>
      <c r="B6" s="1475"/>
      <c r="C6" s="1475"/>
      <c r="D6" s="487"/>
      <c r="E6"/>
      <c r="F6" s="487"/>
      <c r="G6"/>
      <c r="H6"/>
      <c r="I6" s="49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s="487"/>
      <c r="B7" s="497" t="s">
        <v>420</v>
      </c>
      <c r="C7" s="498"/>
      <c r="D7" s="487"/>
      <c r="E7"/>
      <c r="F7" s="487"/>
      <c r="G7"/>
      <c r="H7"/>
      <c r="I7" s="499"/>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9.25" customHeight="1">
      <c r="A8" s="500" t="s">
        <v>421</v>
      </c>
      <c r="B8" s="500"/>
      <c r="C8" s="500"/>
      <c r="D8" s="500"/>
      <c r="E8" s="500"/>
      <c r="F8" s="487"/>
      <c r="G8" s="2852" t="s">
        <v>422</v>
      </c>
      <c r="H8" s="2852"/>
      <c r="I8" s="501" t="s">
        <v>60</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7" customHeight="1">
      <c r="A9" s="2853" t="s">
        <v>423</v>
      </c>
      <c r="B9" s="2853"/>
      <c r="C9" s="2853"/>
      <c r="D9" s="502"/>
      <c r="E9" s="503" t="s">
        <v>424</v>
      </c>
      <c r="F9" s="487"/>
      <c r="G9" s="2852" t="s">
        <v>425</v>
      </c>
      <c r="H9" s="2852"/>
      <c r="I9" s="501" t="s">
        <v>62</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3" customHeight="1">
      <c r="A10" s="2844" t="s">
        <v>426</v>
      </c>
      <c r="B10" s="2844"/>
      <c r="C10" s="2844"/>
      <c r="D10" s="2844"/>
      <c r="E10" s="1469"/>
      <c r="F10" s="487"/>
      <c r="G10" s="2848" t="s">
        <v>2134</v>
      </c>
      <c r="H10" s="2849"/>
      <c r="I10" s="501" t="s">
        <v>62</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 customHeight="1">
      <c r="A11" s="2844" t="s">
        <v>428</v>
      </c>
      <c r="B11" s="2844"/>
      <c r="C11" s="2844"/>
      <c r="D11" s="2844"/>
      <c r="E11" s="1470"/>
      <c r="F11" s="487"/>
      <c r="G11" s="2845" t="s">
        <v>427</v>
      </c>
      <c r="H11" s="2845"/>
      <c r="I11" s="501" t="s">
        <v>60</v>
      </c>
    </row>
    <row r="12" spans="1:256" ht="27" customHeight="1">
      <c r="A12" s="2847" t="s">
        <v>430</v>
      </c>
      <c r="B12" s="2847"/>
      <c r="C12" s="2847"/>
      <c r="D12" s="2847"/>
      <c r="E12" s="1469"/>
      <c r="F12" s="487"/>
      <c r="G12" s="2846" t="s">
        <v>429</v>
      </c>
      <c r="H12" s="2846"/>
      <c r="I12" s="2846"/>
      <c r="J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 customHeight="1">
      <c r="A13" s="2865" t="s">
        <v>431</v>
      </c>
      <c r="B13" s="2865"/>
      <c r="C13" s="2865"/>
      <c r="D13" s="2865"/>
      <c r="E13" s="1471"/>
      <c r="F13" s="487"/>
      <c r="G13" s="2846"/>
      <c r="H13" s="2846"/>
      <c r="I13" s="2846"/>
    </row>
    <row r="14" spans="1:256" ht="27" customHeight="1">
      <c r="A14" s="504" t="s">
        <v>433</v>
      </c>
      <c r="B14" s="505"/>
      <c r="C14" s="505"/>
      <c r="D14" s="506"/>
      <c r="E14" s="1472">
        <f>SUM(E10:E13)</f>
        <v>0</v>
      </c>
      <c r="F14" s="487"/>
      <c r="G14" s="2866" t="s">
        <v>432</v>
      </c>
      <c r="H14" s="2867"/>
      <c r="I14" s="2868"/>
      <c r="J14"/>
    </row>
    <row r="15" spans="1:256" ht="27" customHeight="1">
      <c r="A15" s="507" t="s">
        <v>434</v>
      </c>
      <c r="B15"/>
      <c r="C15"/>
      <c r="D15"/>
      <c r="E15"/>
      <c r="F15" s="487"/>
      <c r="G15" s="2859" t="s">
        <v>2133</v>
      </c>
      <c r="H15" s="2860"/>
      <c r="I15" s="2861"/>
      <c r="J15" s="485"/>
    </row>
    <row r="16" spans="1:256" ht="60" customHeight="1">
      <c r="A16" s="2854" t="s">
        <v>435</v>
      </c>
      <c r="B16" s="2854"/>
      <c r="C16" s="2854"/>
      <c r="D16" s="2854"/>
      <c r="E16" s="2854"/>
      <c r="F16" s="487"/>
      <c r="G16" s="2859"/>
      <c r="H16" s="2860"/>
      <c r="I16" s="2861"/>
      <c r="J16" s="485"/>
    </row>
    <row r="17" spans="1:13" ht="58.5" customHeight="1">
      <c r="A17" s="2854"/>
      <c r="B17" s="2854"/>
      <c r="C17" s="2854"/>
      <c r="D17" s="2854"/>
      <c r="E17" s="2854"/>
      <c r="F17" s="487"/>
      <c r="G17" s="2859"/>
      <c r="H17" s="2860"/>
      <c r="I17" s="2861"/>
      <c r="J17" s="485"/>
    </row>
    <row r="18" spans="1:13" ht="111" customHeight="1">
      <c r="A18" s="2854"/>
      <c r="B18" s="2854"/>
      <c r="C18" s="2854"/>
      <c r="D18" s="2854"/>
      <c r="E18" s="2854"/>
      <c r="F18" s="487"/>
      <c r="G18" s="2859"/>
      <c r="H18" s="2860"/>
      <c r="I18" s="2861"/>
      <c r="J18" s="485"/>
    </row>
    <row r="19" spans="1:13" ht="24.75" customHeight="1">
      <c r="A19" s="2855" t="s">
        <v>436</v>
      </c>
      <c r="B19" s="2855"/>
      <c r="C19" s="2855"/>
      <c r="D19" s="2855"/>
      <c r="E19" s="2855"/>
      <c r="F19"/>
      <c r="G19" s="2859"/>
      <c r="H19" s="2860"/>
      <c r="I19" s="2861"/>
      <c r="J19" s="485"/>
      <c r="K19" s="2739"/>
      <c r="L19" s="2739"/>
      <c r="M19" s="2739"/>
    </row>
    <row r="20" spans="1:13" ht="20.25" customHeight="1">
      <c r="A20" s="2855"/>
      <c r="B20" s="2855"/>
      <c r="C20" s="2855"/>
      <c r="D20" s="2855"/>
      <c r="E20" s="2855"/>
      <c r="F20"/>
      <c r="G20" s="2862"/>
      <c r="H20" s="2863"/>
      <c r="I20" s="2864"/>
    </row>
    <row r="21" spans="1:13" ht="20.25" customHeight="1">
      <c r="A21" s="2855"/>
      <c r="B21" s="2855"/>
      <c r="C21" s="2855"/>
      <c r="D21" s="2855"/>
      <c r="E21" s="2855"/>
      <c r="F21"/>
      <c r="G21" s="2856" t="s">
        <v>437</v>
      </c>
      <c r="H21" s="2857"/>
      <c r="I21" s="2858"/>
    </row>
    <row r="22" spans="1:13" ht="20.25" customHeight="1">
      <c r="A22"/>
      <c r="B22"/>
      <c r="C22"/>
      <c r="D22"/>
      <c r="E22"/>
      <c r="F22"/>
      <c r="G22"/>
      <c r="H22"/>
      <c r="I22"/>
    </row>
    <row r="23" spans="1:13" ht="30.75" customHeight="1">
      <c r="A23" s="508"/>
      <c r="B23" s="509"/>
      <c r="C23" s="509"/>
      <c r="D23" s="509"/>
      <c r="E23" s="509"/>
      <c r="F23" s="509"/>
      <c r="G23" s="509"/>
      <c r="H23" s="509"/>
      <c r="I23" s="509"/>
    </row>
  </sheetData>
  <sheetProtection password="CC3A" sheet="1" objects="1" scenarios="1" formatCells="0" formatRows="0"/>
  <mergeCells count="18">
    <mergeCell ref="A16:E18"/>
    <mergeCell ref="A19:E21"/>
    <mergeCell ref="G21:I21"/>
    <mergeCell ref="G15:I20"/>
    <mergeCell ref="A13:D13"/>
    <mergeCell ref="G14:I14"/>
    <mergeCell ref="A1:E1"/>
    <mergeCell ref="B4:C4"/>
    <mergeCell ref="B5:C5"/>
    <mergeCell ref="G8:H8"/>
    <mergeCell ref="A9:C9"/>
    <mergeCell ref="G9:H9"/>
    <mergeCell ref="A10:D10"/>
    <mergeCell ref="G11:H11"/>
    <mergeCell ref="A11:D11"/>
    <mergeCell ref="G12:I13"/>
    <mergeCell ref="A12:D12"/>
    <mergeCell ref="G10:H10"/>
  </mergeCells>
  <dataValidations count="3">
    <dataValidation type="list" operator="equal" allowBlank="1" showErrorMessage="1" sqref="I11">
      <formula1>Liste_ja</formula1>
      <formula2>0</formula2>
    </dataValidation>
    <dataValidation type="list" operator="equal" allowBlank="1" showInputMessage="1" showErrorMessage="1" sqref="I9:I10">
      <formula1>Liste_ja</formula1>
      <formula2>0</formula2>
    </dataValidation>
    <dataValidation type="list" operator="equal" allowBlank="1" showErrorMessage="1" sqref="I8">
      <formula1>Liste_ja</formula1>
    </dataValidation>
  </dataValidations>
  <hyperlinks>
    <hyperlink ref="H1" location="Info!A1" display="◄"/>
    <hyperlink ref="I1" location="N_Bedarf!A1" display="►"/>
    <hyperlink ref="G21" r:id="rId1"/>
  </hyperlinks>
  <printOptions horizontalCentered="1" verticalCentered="1"/>
  <pageMargins left="0.47244094488188981" right="0.43307086614173229" top="0.86614173228346458" bottom="0.74803149606299213" header="0.39370078740157483" footer="0.39370078740157483"/>
  <pageSetup paperSize="9" firstPageNumber="0" orientation="portrait" blackAndWhite="1" horizontalDpi="300" verticalDpi="300"/>
  <headerFooter alignWithMargins="0">
    <oddHeader>&amp;R&amp;G</oddHeader>
    <oddFooter>&amp;L&amp;F&amp;C&amp;A&amp;R&amp;P von &amp;N</oddFooter>
  </headerFooter>
  <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IX405"/>
  <sheetViews>
    <sheetView showZeros="0" zoomScale="80" zoomScaleNormal="80" zoomScalePageLayoutView="70" workbookViewId="0">
      <selection activeCell="J1" sqref="J1:K1"/>
    </sheetView>
  </sheetViews>
  <sheetFormatPr baseColWidth="10" defaultColWidth="12.7109375" defaultRowHeight="12.75"/>
  <cols>
    <col min="1" max="1" width="1.85546875" style="485" customWidth="1"/>
    <col min="2" max="2" width="0" hidden="1" customWidth="1"/>
    <col min="3" max="3" width="31.42578125" style="2039" customWidth="1"/>
    <col min="4" max="4" width="18" style="485" customWidth="1"/>
    <col min="5" max="5" width="11.140625" style="485" customWidth="1"/>
    <col min="6" max="6" width="8.7109375" style="485" customWidth="1"/>
    <col min="7" max="7" width="10" style="485" customWidth="1"/>
    <col min="8" max="8" width="9" style="485" customWidth="1"/>
    <col min="9" max="9" width="11.28515625" style="485" customWidth="1"/>
    <col min="10" max="10" width="8.42578125" style="485" customWidth="1"/>
    <col min="11" max="11" width="9.28515625" style="485" customWidth="1"/>
    <col min="12" max="12" width="9.85546875" style="485" customWidth="1"/>
    <col min="13" max="13" width="8.85546875" style="485" customWidth="1"/>
    <col min="14" max="14" width="9.42578125" style="485" customWidth="1"/>
    <col min="15" max="15" width="8.140625" style="485" customWidth="1"/>
    <col min="16" max="16" width="9.42578125" style="485" customWidth="1"/>
    <col min="17" max="17" width="7.7109375" style="485" customWidth="1"/>
    <col min="18" max="20" width="8.85546875" style="485" customWidth="1"/>
    <col min="21" max="21" width="9.28515625" style="485" customWidth="1"/>
    <col min="22" max="22" width="10" style="485" customWidth="1"/>
    <col min="23" max="23" width="9.28515625" style="485" customWidth="1"/>
    <col min="24" max="24" width="8.42578125" style="485" customWidth="1"/>
    <col min="25" max="28" width="7.140625" style="485" customWidth="1"/>
    <col min="29" max="29" width="6.28515625" style="485" customWidth="1"/>
    <col min="30" max="34" width="9.140625" style="485" customWidth="1"/>
    <col min="35" max="35" width="10.140625" style="485" hidden="1" customWidth="1"/>
    <col min="36" max="36" width="10.42578125" style="485" hidden="1" customWidth="1"/>
    <col min="37" max="37" width="13.28515625" style="485" hidden="1" customWidth="1"/>
    <col min="38" max="40" width="12.7109375" style="485" hidden="1" customWidth="1"/>
    <col min="41" max="41" width="51.85546875" style="485" hidden="1" customWidth="1"/>
    <col min="42" max="50" width="9.42578125" style="485" hidden="1" customWidth="1"/>
    <col min="51" max="51" width="7.42578125" style="485" hidden="1" customWidth="1"/>
    <col min="52" max="52" width="34.42578125" style="485" hidden="1" customWidth="1"/>
    <col min="53" max="57" width="9.7109375" style="485" hidden="1" customWidth="1"/>
    <col min="58" max="58" width="12.7109375" style="485" hidden="1" customWidth="1"/>
    <col min="59" max="59" width="40.85546875" style="485" hidden="1" customWidth="1"/>
    <col min="60" max="66" width="8.28515625" style="485" hidden="1" customWidth="1"/>
    <col min="67" max="67" width="17.85546875" style="485" customWidth="1"/>
    <col min="68" max="16384" width="12.7109375" style="485"/>
  </cols>
  <sheetData>
    <row r="1" spans="1:258" ht="25.5" customHeight="1">
      <c r="A1" s="760"/>
      <c r="B1" s="486"/>
      <c r="C1" s="701" t="s">
        <v>884</v>
      </c>
      <c r="D1" s="1597"/>
      <c r="E1" s="1011"/>
      <c r="F1" s="1012"/>
      <c r="G1" s="1012"/>
      <c r="H1" s="1012"/>
      <c r="I1" s="1012"/>
      <c r="J1" s="3041" t="s">
        <v>413</v>
      </c>
      <c r="K1" s="3041"/>
      <c r="L1" s="3041" t="s">
        <v>381</v>
      </c>
      <c r="M1" s="3041"/>
      <c r="N1" s="1012"/>
      <c r="O1" s="1012"/>
      <c r="P1" s="1012"/>
      <c r="Q1" s="1012"/>
      <c r="R1" s="1012"/>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0"/>
      <c r="AX1" s="760"/>
      <c r="AY1" s="1014"/>
      <c r="AZ1" s="1015" t="s">
        <v>885</v>
      </c>
      <c r="BA1" s="1014"/>
      <c r="BB1" s="1014"/>
      <c r="BC1" s="1014"/>
      <c r="BD1" s="1014"/>
      <c r="BE1" s="1014"/>
      <c r="BF1" s="760"/>
      <c r="BG1" s="1015" t="s">
        <v>886</v>
      </c>
      <c r="BH1" s="760"/>
      <c r="BI1" s="760"/>
      <c r="BJ1" s="760"/>
      <c r="BK1" s="760"/>
      <c r="BL1" s="760"/>
      <c r="BM1" s="760"/>
      <c r="BN1" s="760"/>
      <c r="BO1" s="760"/>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row>
    <row r="2" spans="1:258" ht="18" customHeight="1">
      <c r="A2" s="760"/>
      <c r="B2" s="486"/>
      <c r="C2" s="2223" t="s">
        <v>887</v>
      </c>
      <c r="D2" s="1596"/>
      <c r="E2" s="1016"/>
      <c r="F2" s="1016"/>
      <c r="G2" s="1016"/>
      <c r="H2" s="1016"/>
      <c r="I2" s="1016"/>
      <c r="J2" s="1012"/>
      <c r="K2" s="1012"/>
      <c r="L2" s="1012"/>
      <c r="M2" s="1017" t="s">
        <v>888</v>
      </c>
      <c r="N2" s="1018"/>
      <c r="O2" s="1012"/>
      <c r="P2" s="1012"/>
      <c r="Q2" s="1012"/>
      <c r="R2" s="1012"/>
      <c r="S2" s="1019" t="s">
        <v>889</v>
      </c>
      <c r="T2" s="760"/>
      <c r="U2" s="760"/>
      <c r="V2" s="760"/>
      <c r="W2" s="760"/>
      <c r="X2" s="760"/>
      <c r="Y2" s="760"/>
      <c r="Z2" s="760"/>
      <c r="AA2" s="760"/>
      <c r="AB2" s="760"/>
      <c r="AC2" s="760"/>
      <c r="AD2" s="760"/>
      <c r="AE2" s="760"/>
      <c r="AF2" s="760"/>
      <c r="AG2" s="760"/>
      <c r="AH2" s="760"/>
      <c r="AI2" s="760"/>
      <c r="AJ2" s="760"/>
      <c r="AK2" s="3024"/>
      <c r="AL2" s="3024"/>
      <c r="AM2" s="3024"/>
      <c r="AN2" s="3024"/>
      <c r="AO2" s="1020" t="s">
        <v>890</v>
      </c>
      <c r="AP2" s="1020" t="s">
        <v>891</v>
      </c>
      <c r="AQ2" s="760"/>
      <c r="AR2" s="760"/>
      <c r="AS2" s="760"/>
      <c r="AT2" s="760"/>
      <c r="AU2" s="760"/>
      <c r="AV2" s="760"/>
      <c r="AW2" s="760"/>
      <c r="AX2" s="760"/>
      <c r="AY2" s="760"/>
      <c r="AZ2" s="760"/>
      <c r="BA2" s="760" t="s">
        <v>892</v>
      </c>
      <c r="BB2" s="760"/>
      <c r="BC2" s="760"/>
      <c r="BD2" s="760"/>
      <c r="BE2" s="760"/>
      <c r="BF2" s="760"/>
      <c r="BG2" s="760"/>
      <c r="BH2" s="760"/>
      <c r="BI2" s="760"/>
      <c r="BJ2" s="760"/>
      <c r="BK2" s="760"/>
      <c r="BL2" s="760"/>
      <c r="BM2" s="760"/>
      <c r="BN2" s="760"/>
      <c r="BO2" s="760"/>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row>
    <row r="3" spans="1:258" ht="39.75" customHeight="1">
      <c r="A3" s="760"/>
      <c r="B3" s="1021"/>
      <c r="C3" s="2224" t="s">
        <v>893</v>
      </c>
      <c r="D3" s="2031"/>
      <c r="E3" s="2026" t="s">
        <v>894</v>
      </c>
      <c r="F3" s="1022" t="s">
        <v>895</v>
      </c>
      <c r="G3" s="3025" t="s">
        <v>896</v>
      </c>
      <c r="H3" s="3025"/>
      <c r="I3" s="1023" t="s">
        <v>897</v>
      </c>
      <c r="J3" s="3026" t="s">
        <v>1711</v>
      </c>
      <c r="K3" s="3026"/>
      <c r="L3" s="1461" t="s">
        <v>898</v>
      </c>
      <c r="M3" s="3027" t="s">
        <v>899</v>
      </c>
      <c r="N3" s="3027"/>
      <c r="O3" s="3027"/>
      <c r="P3" s="1024" t="s">
        <v>900</v>
      </c>
      <c r="Q3" s="3028" t="s">
        <v>815</v>
      </c>
      <c r="R3" s="3028"/>
      <c r="S3" s="3029" t="s">
        <v>901</v>
      </c>
      <c r="T3" s="3029"/>
      <c r="U3" s="1025" t="s">
        <v>902</v>
      </c>
      <c r="V3" s="1464" t="s">
        <v>903</v>
      </c>
      <c r="W3" s="3030" t="s">
        <v>904</v>
      </c>
      <c r="X3" s="3030"/>
      <c r="Y3" s="760"/>
      <c r="Z3" s="760"/>
      <c r="AA3" s="760"/>
      <c r="AB3" s="760"/>
      <c r="AC3" s="760"/>
      <c r="AD3" s="760"/>
      <c r="AE3" s="760"/>
      <c r="AF3" s="760"/>
      <c r="AG3" s="760"/>
      <c r="AH3" s="760"/>
      <c r="AI3" s="1026" t="s">
        <v>905</v>
      </c>
      <c r="AJ3" s="66" t="s">
        <v>906</v>
      </c>
      <c r="AK3" s="1027" t="s">
        <v>907</v>
      </c>
      <c r="AL3" s="1027" t="s">
        <v>908</v>
      </c>
      <c r="AM3" s="1027" t="s">
        <v>909</v>
      </c>
      <c r="AN3" s="1027" t="s">
        <v>903</v>
      </c>
      <c r="AO3" s="760"/>
      <c r="AP3" s="1028" t="s">
        <v>910</v>
      </c>
      <c r="AQ3" s="1029" t="s">
        <v>911</v>
      </c>
      <c r="AR3" s="1028" t="s">
        <v>120</v>
      </c>
      <c r="AS3" s="1030" t="s">
        <v>912</v>
      </c>
      <c r="AT3" s="1028" t="s">
        <v>116</v>
      </c>
      <c r="AU3" s="1028" t="s">
        <v>913</v>
      </c>
      <c r="AV3" s="1031" t="s">
        <v>914</v>
      </c>
      <c r="AW3" s="1032" t="s">
        <v>915</v>
      </c>
      <c r="AX3" s="1027" t="s">
        <v>916</v>
      </c>
      <c r="AY3" s="760"/>
      <c r="AZ3" s="760"/>
      <c r="BA3" s="1033" t="s">
        <v>910</v>
      </c>
      <c r="BB3" s="1033" t="s">
        <v>120</v>
      </c>
      <c r="BC3" s="1033" t="s">
        <v>116</v>
      </c>
      <c r="BD3" s="1033" t="s">
        <v>116</v>
      </c>
      <c r="BE3" s="1033" t="s">
        <v>116</v>
      </c>
      <c r="BF3" s="760"/>
      <c r="BG3" s="760"/>
      <c r="BH3" s="1033" t="s">
        <v>910</v>
      </c>
      <c r="BI3" s="1033" t="s">
        <v>120</v>
      </c>
      <c r="BJ3" s="1033" t="s">
        <v>116</v>
      </c>
      <c r="BK3" s="1034" t="s">
        <v>913</v>
      </c>
      <c r="BL3" s="1034" t="s">
        <v>914</v>
      </c>
      <c r="BM3" s="1035" t="s">
        <v>917</v>
      </c>
      <c r="BN3" s="1027" t="s">
        <v>918</v>
      </c>
      <c r="BO3" s="760"/>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row>
    <row r="4" spans="1:258" ht="25.5" customHeight="1" thickBot="1">
      <c r="A4" s="760"/>
      <c r="B4" s="1036"/>
      <c r="C4" s="2032" t="s">
        <v>919</v>
      </c>
      <c r="D4" s="2033"/>
      <c r="E4" s="2027" t="s">
        <v>424</v>
      </c>
      <c r="F4" s="1038" t="s">
        <v>920</v>
      </c>
      <c r="G4" s="1039" t="s">
        <v>921</v>
      </c>
      <c r="H4" s="1037"/>
      <c r="I4" s="1061" t="s">
        <v>922</v>
      </c>
      <c r="J4" s="1040" t="s">
        <v>921</v>
      </c>
      <c r="K4" s="1459" t="s">
        <v>923</v>
      </c>
      <c r="L4" s="1460" t="s">
        <v>922</v>
      </c>
      <c r="M4" s="3031"/>
      <c r="N4" s="3031"/>
      <c r="O4" s="3031"/>
      <c r="P4" s="1041" t="s">
        <v>424</v>
      </c>
      <c r="Q4" s="1042" t="s">
        <v>924</v>
      </c>
      <c r="R4" s="1043" t="s">
        <v>925</v>
      </c>
      <c r="S4" s="1463" t="s">
        <v>921</v>
      </c>
      <c r="T4" s="1025" t="s">
        <v>1712</v>
      </c>
      <c r="U4" s="1462" t="s">
        <v>922</v>
      </c>
      <c r="V4" s="1462" t="s">
        <v>922</v>
      </c>
      <c r="W4" s="3032" t="s">
        <v>926</v>
      </c>
      <c r="X4" s="3032"/>
      <c r="Y4" s="760"/>
      <c r="Z4" s="760"/>
      <c r="AA4" s="760"/>
      <c r="AB4" s="760"/>
      <c r="AC4" s="760"/>
      <c r="AD4" s="760"/>
      <c r="AE4" s="760"/>
      <c r="AF4" s="760"/>
      <c r="AG4" s="760"/>
      <c r="AH4" s="760"/>
      <c r="AI4" s="1044" t="s">
        <v>424</v>
      </c>
      <c r="AJ4" s="1044" t="s">
        <v>922</v>
      </c>
      <c r="AK4" s="1044" t="s">
        <v>922</v>
      </c>
      <c r="AL4" s="1044" t="s">
        <v>922</v>
      </c>
      <c r="AM4" s="1044" t="s">
        <v>922</v>
      </c>
      <c r="AN4" s="1044" t="s">
        <v>922</v>
      </c>
      <c r="AO4" s="1799"/>
      <c r="AP4" s="1799">
        <v>2</v>
      </c>
      <c r="AQ4" s="1799">
        <v>3</v>
      </c>
      <c r="AR4" s="1799">
        <v>4</v>
      </c>
      <c r="AS4" s="1799">
        <v>5</v>
      </c>
      <c r="AT4" s="1799">
        <v>6</v>
      </c>
      <c r="AU4" s="1799">
        <v>7</v>
      </c>
      <c r="AV4" s="1799">
        <v>8</v>
      </c>
      <c r="AW4" s="760"/>
      <c r="AX4" s="760"/>
      <c r="AY4" s="760"/>
      <c r="AZ4" s="1045"/>
      <c r="BA4" s="1046" t="s">
        <v>927</v>
      </c>
      <c r="BB4" s="1046" t="s">
        <v>927</v>
      </c>
      <c r="BC4" s="1046" t="s">
        <v>927</v>
      </c>
      <c r="BD4" s="1046" t="s">
        <v>927</v>
      </c>
      <c r="BE4" s="1046" t="s">
        <v>927</v>
      </c>
      <c r="BF4" s="760"/>
      <c r="BG4" s="1045"/>
      <c r="BH4" s="1047" t="s">
        <v>928</v>
      </c>
      <c r="BI4" s="1047" t="s">
        <v>928</v>
      </c>
      <c r="BJ4" s="1047" t="s">
        <v>928</v>
      </c>
      <c r="BK4" s="1047" t="s">
        <v>928</v>
      </c>
      <c r="BL4" s="1047" t="s">
        <v>928</v>
      </c>
      <c r="BM4" s="1047" t="s">
        <v>928</v>
      </c>
      <c r="BN4" s="1048" t="s">
        <v>928</v>
      </c>
      <c r="BO4" s="760"/>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row>
    <row r="5" spans="1:258" ht="21" customHeight="1">
      <c r="A5" s="1049" t="s">
        <v>929</v>
      </c>
      <c r="B5" s="1050" t="str">
        <f t="shared" ref="B5:B18" si="0">CONCATENATE(A5," - ",C5)</f>
        <v xml:space="preserve">a - </v>
      </c>
      <c r="C5" s="3042"/>
      <c r="D5" s="3043"/>
      <c r="E5" s="2028"/>
      <c r="F5" s="1601"/>
      <c r="G5" s="2022"/>
      <c r="H5" s="1051">
        <f t="shared" ref="H5:H18" si="1">IF(AND(ISNA(AK5),ISBLANK(C5)),0,IF(ISNA(AK5),G5,AK5))</f>
        <v>0</v>
      </c>
      <c r="I5" s="1483">
        <f t="shared" ref="I5:I18" si="2">E5*H5</f>
        <v>0</v>
      </c>
      <c r="J5" s="2022"/>
      <c r="K5" s="1450">
        <f t="shared" ref="K5:K18" si="3">IF(ISNA(AL5),0,AL5)</f>
        <v>0</v>
      </c>
      <c r="L5" s="1451">
        <f t="shared" ref="L5:L18" si="4">IF(ISBLANK(J5),E5*K5,E5*J5)</f>
        <v>0</v>
      </c>
      <c r="M5" s="3033" t="s">
        <v>930</v>
      </c>
      <c r="N5" s="3033"/>
      <c r="O5" s="3033"/>
      <c r="P5" s="1455"/>
      <c r="Q5" s="1456">
        <v>20</v>
      </c>
      <c r="R5" s="1457">
        <f>P5*Q5</f>
        <v>0</v>
      </c>
      <c r="S5" s="1052"/>
      <c r="T5" s="1053">
        <f t="shared" ref="T5:T18" si="5">IF(ISNA(AM5),0,AM5)</f>
        <v>0</v>
      </c>
      <c r="U5" s="1053">
        <f t="shared" ref="U5:U18" si="6">IF(ISBLANK(S5),E5*T5,E5*S5)</f>
        <v>0</v>
      </c>
      <c r="V5" s="1054">
        <f t="shared" ref="V5:V18" si="7">IF(ISNA(AN5),0,E5*AN5)</f>
        <v>0</v>
      </c>
      <c r="W5" s="3032"/>
      <c r="X5" s="3032"/>
      <c r="Y5" s="760"/>
      <c r="Z5" s="760"/>
      <c r="AA5" s="760"/>
      <c r="AB5" s="760"/>
      <c r="AC5" s="760"/>
      <c r="AD5" s="760"/>
      <c r="AE5" s="760"/>
      <c r="AF5" s="760"/>
      <c r="AG5" s="760"/>
      <c r="AH5" s="760"/>
      <c r="AI5" s="1055">
        <f t="shared" ref="AI5:AI18" si="8">IF(I5&gt;0,E5,0)</f>
        <v>0</v>
      </c>
      <c r="AJ5" s="1055">
        <f t="shared" ref="AJ5:AJ18" si="9">IF(ISBLANK(F5),0,VLOOKUP(C5,Liste_N_Bedarf,9,0))</f>
        <v>0</v>
      </c>
      <c r="AK5" s="1055">
        <f t="shared" ref="AK5:AK18" si="10">IF(F5="niedrig",VLOOKUP(C5,Liste_N_Bedarf,2,0),IF(F5="GW-mittel",VLOOKUP(C5,Liste_N_Bedarf,3,0),IF(F5="mittel",VLOOKUP(C5,Liste_N_Bedarf,4,0),IF(F5="GW-hoch",VLOOKUP(C5,Liste_N_Bedarf,5,0),IF(F5="hoch 1",VLOOKUP(C5,Liste_N_Bedarf,6,0),IF(F5="hoch 2",VLOOKUP(C5,Liste_N_Bedarf,7,0),IF(F5="hoch 3",VLOOKUP(C5,Liste_N_Bedarf,8,0),0)))))))</f>
        <v>0</v>
      </c>
      <c r="AL5" s="1055">
        <f t="shared" ref="AL5:AL18" si="11">IF(F5="niedrig",VLOOKUP(C5,Liste_P_Bedarf,2,0),IF(F5="GW-mittel",VLOOKUP(C5,Liste_P_Bedarf,3,0),IF(F5="mittel",VLOOKUP(C5,Liste_P_Bedarf,3,0),IF(F5="GW-hoch",VLOOKUP(C5,Liste_P_Bedarf,4,0),IF(F5="hoch 1",VLOOKUP(C5,Liste_P_Bedarf,4,0),IF(F5="hoch 2",VLOOKUP(C5,Liste_P_Bedarf,5,0),IF(F5="hoch 3",VLOOKUP(C5,Liste_P_Bedarf,6,0),0)))))))</f>
        <v>0</v>
      </c>
      <c r="AM5" s="1055">
        <f t="shared" ref="AM5:AM18" si="12">IF(F5="niedrig",VLOOKUP(C5,Liste_K_Bedarf,2,0),IF(F5="GW-mittel",VLOOKUP(C5,Liste_K_Bedarf,3,0),IF(F5="mittel",VLOOKUP(C5,Liste_K_Bedarf,3,0),IF(F5="GW-hoch",VLOOKUP(C5,Liste_K_Bedarf,4,0),IF(F5="hoch 1",VLOOKUP(C5,Liste_K_Bedarf,4,0),IF(F5="hoch 2",VLOOKUP(C5,Liste_K_Bedarf,5,0),IF(F5="hoch 3",VLOOKUP(C5,Liste_K_Bedarf,6,0),0)))))))</f>
        <v>0</v>
      </c>
      <c r="AN5" s="1983">
        <f t="shared" ref="AN5:AN18" si="13">IF(ISBLANK(F5),0,VLOOKUP(C5,Liste_K_Bedarf,7,0))</f>
        <v>0</v>
      </c>
      <c r="AO5" s="1967" t="s">
        <v>1986</v>
      </c>
      <c r="AP5" s="1963">
        <v>105</v>
      </c>
      <c r="AQ5" s="1966">
        <v>130</v>
      </c>
      <c r="AR5" s="1963">
        <v>145</v>
      </c>
      <c r="AS5" s="1966">
        <v>150</v>
      </c>
      <c r="AT5" s="1963">
        <v>170</v>
      </c>
      <c r="AU5" s="1963">
        <v>180</v>
      </c>
      <c r="AV5" s="1963">
        <v>195</v>
      </c>
      <c r="AW5" s="1988">
        <v>20</v>
      </c>
      <c r="AX5" s="1989" t="s">
        <v>931</v>
      </c>
      <c r="AY5" s="760"/>
      <c r="AZ5" s="1964" t="s">
        <v>1986</v>
      </c>
      <c r="BA5" s="2518">
        <v>50</v>
      </c>
      <c r="BB5" s="2518">
        <v>55</v>
      </c>
      <c r="BC5" s="2518">
        <v>65</v>
      </c>
      <c r="BD5" s="2518">
        <v>65</v>
      </c>
      <c r="BE5" s="2518">
        <v>65</v>
      </c>
      <c r="BF5"/>
      <c r="BG5" s="1964" t="s">
        <v>1986</v>
      </c>
      <c r="BH5" s="2510">
        <v>70</v>
      </c>
      <c r="BI5" s="2510">
        <v>80</v>
      </c>
      <c r="BJ5" s="2510">
        <v>90</v>
      </c>
      <c r="BK5" s="2510">
        <v>90</v>
      </c>
      <c r="BL5" s="2510">
        <v>90</v>
      </c>
      <c r="BM5" s="2509">
        <f t="shared" ref="BM5:BM14" si="14">IF($V$27="ja",BN5,IF($V$27="nein",0,0))</f>
        <v>50</v>
      </c>
      <c r="BN5" s="2508">
        <v>50</v>
      </c>
      <c r="BO5" s="760"/>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row>
    <row r="6" spans="1:258" ht="21" customHeight="1">
      <c r="A6" s="1049" t="s">
        <v>932</v>
      </c>
      <c r="B6" s="1056" t="str">
        <f t="shared" si="0"/>
        <v xml:space="preserve">b - </v>
      </c>
      <c r="C6" s="3042"/>
      <c r="D6" s="3043"/>
      <c r="E6" s="2028"/>
      <c r="F6" s="1601"/>
      <c r="G6" s="2023"/>
      <c r="H6" s="1057">
        <f t="shared" si="1"/>
        <v>0</v>
      </c>
      <c r="I6" s="1483">
        <f t="shared" si="2"/>
        <v>0</v>
      </c>
      <c r="J6" s="2022"/>
      <c r="K6" s="1450">
        <f t="shared" si="3"/>
        <v>0</v>
      </c>
      <c r="L6" s="1452">
        <f t="shared" si="4"/>
        <v>0</v>
      </c>
      <c r="M6" s="3034" t="s">
        <v>934</v>
      </c>
      <c r="N6" s="3034"/>
      <c r="O6" s="3034"/>
      <c r="P6" s="3010"/>
      <c r="Q6" s="3007">
        <v>20</v>
      </c>
      <c r="R6" s="3008">
        <f>P6*Q6</f>
        <v>0</v>
      </c>
      <c r="S6" s="1052"/>
      <c r="T6" s="1053">
        <f t="shared" si="5"/>
        <v>0</v>
      </c>
      <c r="U6" s="1053">
        <f t="shared" si="6"/>
        <v>0</v>
      </c>
      <c r="V6" s="1054">
        <f t="shared" si="7"/>
        <v>0</v>
      </c>
      <c r="W6" s="3032"/>
      <c r="X6" s="3032"/>
      <c r="Y6" s="760"/>
      <c r="Z6" s="760"/>
      <c r="AA6" s="760"/>
      <c r="AB6" s="760"/>
      <c r="AC6" s="760"/>
      <c r="AD6" s="760"/>
      <c r="AE6" s="760"/>
      <c r="AF6" s="760"/>
      <c r="AG6" s="760"/>
      <c r="AH6" s="760"/>
      <c r="AI6" s="1055">
        <f t="shared" si="8"/>
        <v>0</v>
      </c>
      <c r="AJ6" s="1055">
        <f t="shared" si="9"/>
        <v>0</v>
      </c>
      <c r="AK6" s="1055">
        <f t="shared" si="10"/>
        <v>0</v>
      </c>
      <c r="AL6" s="1055">
        <f t="shared" si="11"/>
        <v>0</v>
      </c>
      <c r="AM6" s="1055">
        <f t="shared" si="12"/>
        <v>0</v>
      </c>
      <c r="AN6" s="1983">
        <f t="shared" si="13"/>
        <v>0</v>
      </c>
      <c r="AO6" s="1967" t="s">
        <v>1987</v>
      </c>
      <c r="AP6" s="1963">
        <v>105</v>
      </c>
      <c r="AQ6" s="1966">
        <v>130</v>
      </c>
      <c r="AR6" s="1963">
        <v>145</v>
      </c>
      <c r="AS6" s="1966">
        <v>150</v>
      </c>
      <c r="AT6" s="1963">
        <v>170</v>
      </c>
      <c r="AU6" s="1963">
        <v>180</v>
      </c>
      <c r="AV6" s="1963">
        <v>195</v>
      </c>
      <c r="AW6" s="1988">
        <v>22</v>
      </c>
      <c r="AX6" s="1989" t="s">
        <v>931</v>
      </c>
      <c r="AY6" s="760"/>
      <c r="AZ6" s="1965" t="s">
        <v>1987</v>
      </c>
      <c r="BA6" s="2517">
        <v>50</v>
      </c>
      <c r="BB6" s="2517">
        <v>55</v>
      </c>
      <c r="BC6" s="2517">
        <v>65</v>
      </c>
      <c r="BD6" s="2517">
        <v>65</v>
      </c>
      <c r="BE6" s="2517">
        <v>65</v>
      </c>
      <c r="BF6"/>
      <c r="BG6" s="1965" t="s">
        <v>1987</v>
      </c>
      <c r="BH6" s="2510">
        <v>70</v>
      </c>
      <c r="BI6" s="2510">
        <v>80</v>
      </c>
      <c r="BJ6" s="2510">
        <v>90</v>
      </c>
      <c r="BK6" s="2510">
        <v>90</v>
      </c>
      <c r="BL6" s="2510">
        <v>90</v>
      </c>
      <c r="BM6" s="2509">
        <f t="shared" si="14"/>
        <v>50</v>
      </c>
      <c r="BN6" s="2508">
        <v>50</v>
      </c>
      <c r="BO6" s="760"/>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row>
    <row r="7" spans="1:258" ht="21" customHeight="1">
      <c r="A7" s="1049" t="s">
        <v>935</v>
      </c>
      <c r="B7" s="1056" t="str">
        <f t="shared" si="0"/>
        <v xml:space="preserve">c - </v>
      </c>
      <c r="C7" s="3042"/>
      <c r="D7" s="3043"/>
      <c r="E7" s="2028"/>
      <c r="F7" s="1601"/>
      <c r="G7" s="2023"/>
      <c r="H7" s="1057">
        <f t="shared" si="1"/>
        <v>0</v>
      </c>
      <c r="I7" s="1483">
        <f t="shared" si="2"/>
        <v>0</v>
      </c>
      <c r="J7" s="2022"/>
      <c r="K7" s="1450">
        <f t="shared" si="3"/>
        <v>0</v>
      </c>
      <c r="L7" s="1452">
        <f t="shared" si="4"/>
        <v>0</v>
      </c>
      <c r="M7" s="3034"/>
      <c r="N7" s="3034"/>
      <c r="O7" s="3034"/>
      <c r="P7" s="3010"/>
      <c r="Q7" s="3007"/>
      <c r="R7" s="3008"/>
      <c r="S7" s="1052"/>
      <c r="T7" s="1053">
        <f t="shared" si="5"/>
        <v>0</v>
      </c>
      <c r="U7" s="1053">
        <f t="shared" si="6"/>
        <v>0</v>
      </c>
      <c r="V7" s="1054">
        <f t="shared" si="7"/>
        <v>0</v>
      </c>
      <c r="W7" s="3032"/>
      <c r="X7" s="3032"/>
      <c r="Y7" s="760"/>
      <c r="Z7" s="760"/>
      <c r="AA7" s="760"/>
      <c r="AB7" s="760"/>
      <c r="AC7" s="760"/>
      <c r="AD7" s="760"/>
      <c r="AE7" s="760"/>
      <c r="AF7" s="760"/>
      <c r="AG7" s="760"/>
      <c r="AH7" s="760"/>
      <c r="AI7" s="1055">
        <f t="shared" si="8"/>
        <v>0</v>
      </c>
      <c r="AJ7" s="1055">
        <f t="shared" si="9"/>
        <v>0</v>
      </c>
      <c r="AK7" s="1055">
        <f t="shared" si="10"/>
        <v>0</v>
      </c>
      <c r="AL7" s="1055">
        <f t="shared" si="11"/>
        <v>0</v>
      </c>
      <c r="AM7" s="1055">
        <f t="shared" si="12"/>
        <v>0</v>
      </c>
      <c r="AN7" s="1983">
        <f t="shared" si="13"/>
        <v>0</v>
      </c>
      <c r="AO7" s="1967" t="s">
        <v>1988</v>
      </c>
      <c r="AP7" s="1963">
        <v>105</v>
      </c>
      <c r="AQ7" s="1966">
        <v>130</v>
      </c>
      <c r="AR7" s="1963">
        <v>145</v>
      </c>
      <c r="AS7" s="1966">
        <v>150</v>
      </c>
      <c r="AT7" s="1963">
        <v>170</v>
      </c>
      <c r="AU7" s="1963">
        <v>180</v>
      </c>
      <c r="AV7" s="1963">
        <v>195</v>
      </c>
      <c r="AW7" s="1988">
        <v>23</v>
      </c>
      <c r="AX7" s="1989" t="s">
        <v>931</v>
      </c>
      <c r="AY7" s="760"/>
      <c r="AZ7" s="1965" t="s">
        <v>1988</v>
      </c>
      <c r="BA7" s="2517">
        <v>50</v>
      </c>
      <c r="BB7" s="2517">
        <v>55</v>
      </c>
      <c r="BC7" s="2517">
        <v>65</v>
      </c>
      <c r="BD7" s="2517">
        <v>65</v>
      </c>
      <c r="BE7" s="2517">
        <v>65</v>
      </c>
      <c r="BF7"/>
      <c r="BG7" s="1965" t="s">
        <v>1988</v>
      </c>
      <c r="BH7" s="2510">
        <v>70</v>
      </c>
      <c r="BI7" s="2510">
        <v>80</v>
      </c>
      <c r="BJ7" s="2510">
        <v>90</v>
      </c>
      <c r="BK7" s="2510">
        <v>90</v>
      </c>
      <c r="BL7" s="2510">
        <v>90</v>
      </c>
      <c r="BM7" s="2509">
        <f t="shared" si="14"/>
        <v>50</v>
      </c>
      <c r="BN7" s="2508">
        <v>50</v>
      </c>
      <c r="BO7" s="760"/>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row>
    <row r="8" spans="1:258" ht="21" customHeight="1">
      <c r="A8" s="1049" t="s">
        <v>937</v>
      </c>
      <c r="B8" s="1056" t="str">
        <f t="shared" si="0"/>
        <v xml:space="preserve">d - </v>
      </c>
      <c r="C8" s="3042"/>
      <c r="D8" s="3043"/>
      <c r="E8" s="2028"/>
      <c r="F8" s="1601"/>
      <c r="G8" s="2024"/>
      <c r="H8" s="1057">
        <f t="shared" si="1"/>
        <v>0</v>
      </c>
      <c r="I8" s="1483">
        <f t="shared" si="2"/>
        <v>0</v>
      </c>
      <c r="J8" s="2022"/>
      <c r="K8" s="1450">
        <f t="shared" si="3"/>
        <v>0</v>
      </c>
      <c r="L8" s="1452">
        <f t="shared" si="4"/>
        <v>0</v>
      </c>
      <c r="M8" s="3035" t="s">
        <v>938</v>
      </c>
      <c r="N8" s="3035"/>
      <c r="O8" s="3035"/>
      <c r="P8" s="3010"/>
      <c r="Q8" s="3007">
        <v>20</v>
      </c>
      <c r="R8" s="3008">
        <f>P8*Q8</f>
        <v>0</v>
      </c>
      <c r="S8" s="1052"/>
      <c r="T8" s="1053">
        <f t="shared" si="5"/>
        <v>0</v>
      </c>
      <c r="U8" s="1053">
        <f t="shared" si="6"/>
        <v>0</v>
      </c>
      <c r="V8" s="1054">
        <f t="shared" si="7"/>
        <v>0</v>
      </c>
      <c r="W8" s="3032"/>
      <c r="X8" s="3032"/>
      <c r="Y8" s="760"/>
      <c r="Z8" s="760"/>
      <c r="AA8" s="760"/>
      <c r="AB8" s="760"/>
      <c r="AC8" s="760"/>
      <c r="AD8" s="760"/>
      <c r="AE8" s="760"/>
      <c r="AF8" s="760"/>
      <c r="AG8" s="760"/>
      <c r="AH8" s="760"/>
      <c r="AI8" s="1055">
        <f t="shared" si="8"/>
        <v>0</v>
      </c>
      <c r="AJ8" s="1055">
        <f t="shared" si="9"/>
        <v>0</v>
      </c>
      <c r="AK8" s="1055">
        <f t="shared" si="10"/>
        <v>0</v>
      </c>
      <c r="AL8" s="1055">
        <f t="shared" si="11"/>
        <v>0</v>
      </c>
      <c r="AM8" s="1055">
        <f t="shared" si="12"/>
        <v>0</v>
      </c>
      <c r="AN8" s="1983">
        <f t="shared" si="13"/>
        <v>0</v>
      </c>
      <c r="AO8" s="1967" t="s">
        <v>933</v>
      </c>
      <c r="AP8" s="1963">
        <v>95</v>
      </c>
      <c r="AQ8" s="1966">
        <v>120</v>
      </c>
      <c r="AR8" s="1963">
        <v>130</v>
      </c>
      <c r="AS8" s="1966">
        <v>135</v>
      </c>
      <c r="AT8" s="1963">
        <v>155</v>
      </c>
      <c r="AU8" s="1963">
        <v>170</v>
      </c>
      <c r="AV8" s="1963">
        <v>180</v>
      </c>
      <c r="AW8" s="1988">
        <v>18</v>
      </c>
      <c r="AX8" s="1989" t="s">
        <v>931</v>
      </c>
      <c r="AY8" s="760"/>
      <c r="AZ8" s="1965" t="s">
        <v>933</v>
      </c>
      <c r="BA8" s="2517">
        <v>50</v>
      </c>
      <c r="BB8" s="2517">
        <v>55</v>
      </c>
      <c r="BC8" s="2517">
        <v>65</v>
      </c>
      <c r="BD8" s="2517">
        <v>65</v>
      </c>
      <c r="BE8" s="2517">
        <v>65</v>
      </c>
      <c r="BF8"/>
      <c r="BG8" s="1965" t="s">
        <v>933</v>
      </c>
      <c r="BH8" s="2510">
        <v>70</v>
      </c>
      <c r="BI8" s="2510">
        <v>80</v>
      </c>
      <c r="BJ8" s="2510">
        <v>90</v>
      </c>
      <c r="BK8" s="2510">
        <v>90</v>
      </c>
      <c r="BL8" s="2510">
        <v>90</v>
      </c>
      <c r="BM8" s="2509">
        <f t="shared" si="14"/>
        <v>50</v>
      </c>
      <c r="BN8" s="2508">
        <v>50</v>
      </c>
      <c r="BO8" s="760"/>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row>
    <row r="9" spans="1:258" ht="21" customHeight="1">
      <c r="A9" s="1049" t="s">
        <v>939</v>
      </c>
      <c r="B9" s="1056" t="str">
        <f t="shared" si="0"/>
        <v xml:space="preserve">e - </v>
      </c>
      <c r="C9" s="3042"/>
      <c r="D9" s="3043"/>
      <c r="E9" s="2028"/>
      <c r="F9" s="1601"/>
      <c r="G9" s="2022"/>
      <c r="H9" s="1057">
        <f t="shared" si="1"/>
        <v>0</v>
      </c>
      <c r="I9" s="1483">
        <f t="shared" si="2"/>
        <v>0</v>
      </c>
      <c r="J9" s="2022"/>
      <c r="K9" s="1450">
        <f t="shared" si="3"/>
        <v>0</v>
      </c>
      <c r="L9" s="1452">
        <f t="shared" si="4"/>
        <v>0</v>
      </c>
      <c r="M9" s="3035"/>
      <c r="N9" s="3035"/>
      <c r="O9" s="3035"/>
      <c r="P9" s="3010"/>
      <c r="Q9" s="3007"/>
      <c r="R9" s="3008"/>
      <c r="S9" s="1052"/>
      <c r="T9" s="1053">
        <f t="shared" si="5"/>
        <v>0</v>
      </c>
      <c r="U9" s="1053">
        <f t="shared" si="6"/>
        <v>0</v>
      </c>
      <c r="V9" s="1054">
        <f t="shared" si="7"/>
        <v>0</v>
      </c>
      <c r="W9" s="3032"/>
      <c r="X9" s="3032"/>
      <c r="Y9" s="760"/>
      <c r="Z9" s="760"/>
      <c r="AA9" s="760"/>
      <c r="AB9" s="760"/>
      <c r="AC9" s="760"/>
      <c r="AD9" s="760"/>
      <c r="AE9" s="760"/>
      <c r="AF9" s="760"/>
      <c r="AG9" s="760"/>
      <c r="AH9" s="760"/>
      <c r="AI9" s="1055">
        <f t="shared" si="8"/>
        <v>0</v>
      </c>
      <c r="AJ9" s="1055">
        <f t="shared" si="9"/>
        <v>0</v>
      </c>
      <c r="AK9" s="1055">
        <f t="shared" si="10"/>
        <v>0</v>
      </c>
      <c r="AL9" s="1055">
        <f t="shared" si="11"/>
        <v>0</v>
      </c>
      <c r="AM9" s="1055">
        <f t="shared" si="12"/>
        <v>0</v>
      </c>
      <c r="AN9" s="1983">
        <f t="shared" si="13"/>
        <v>0</v>
      </c>
      <c r="AO9" s="1967" t="s">
        <v>1880</v>
      </c>
      <c r="AP9" s="1963">
        <v>90</v>
      </c>
      <c r="AQ9" s="1966">
        <v>110</v>
      </c>
      <c r="AR9" s="1963">
        <v>120</v>
      </c>
      <c r="AS9" s="1966">
        <v>120</v>
      </c>
      <c r="AT9" s="1963">
        <v>145</v>
      </c>
      <c r="AU9" s="1963">
        <v>155</v>
      </c>
      <c r="AV9" s="1963">
        <v>165</v>
      </c>
      <c r="AW9" s="1988">
        <v>18</v>
      </c>
      <c r="AX9" s="1989" t="s">
        <v>931</v>
      </c>
      <c r="AY9" s="760"/>
      <c r="AZ9" s="1965" t="s">
        <v>1880</v>
      </c>
      <c r="BA9" s="2517">
        <v>50</v>
      </c>
      <c r="BB9" s="2517">
        <v>55</v>
      </c>
      <c r="BC9" s="2517">
        <v>65</v>
      </c>
      <c r="BD9" s="2517">
        <v>65</v>
      </c>
      <c r="BE9" s="2517">
        <v>65</v>
      </c>
      <c r="BF9"/>
      <c r="BG9" s="1965" t="s">
        <v>1880</v>
      </c>
      <c r="BH9" s="2510">
        <v>70</v>
      </c>
      <c r="BI9" s="2510">
        <v>80</v>
      </c>
      <c r="BJ9" s="2510">
        <v>90</v>
      </c>
      <c r="BK9" s="2510">
        <v>90</v>
      </c>
      <c r="BL9" s="2510">
        <v>90</v>
      </c>
      <c r="BM9" s="2509">
        <f t="shared" si="14"/>
        <v>50</v>
      </c>
      <c r="BN9" s="2508">
        <v>50</v>
      </c>
      <c r="BO9" s="760"/>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row>
    <row r="10" spans="1:258" ht="21" customHeight="1">
      <c r="A10" s="1049" t="s">
        <v>940</v>
      </c>
      <c r="B10" s="1056" t="str">
        <f t="shared" si="0"/>
        <v xml:space="preserve">f - </v>
      </c>
      <c r="C10" s="3042"/>
      <c r="D10" s="3043"/>
      <c r="E10" s="2028"/>
      <c r="F10" s="1601"/>
      <c r="G10" s="2023"/>
      <c r="H10" s="1057">
        <f t="shared" si="1"/>
        <v>0</v>
      </c>
      <c r="I10" s="1483">
        <f t="shared" si="2"/>
        <v>0</v>
      </c>
      <c r="J10" s="2022"/>
      <c r="K10" s="1450">
        <f t="shared" si="3"/>
        <v>0</v>
      </c>
      <c r="L10" s="1452">
        <f t="shared" si="4"/>
        <v>0</v>
      </c>
      <c r="M10" s="3009" t="s">
        <v>941</v>
      </c>
      <c r="N10" s="3009"/>
      <c r="O10" s="3009"/>
      <c r="P10" s="3010"/>
      <c r="Q10" s="3007">
        <v>30</v>
      </c>
      <c r="R10" s="3008">
        <f>P10*Q10</f>
        <v>0</v>
      </c>
      <c r="S10" s="1052"/>
      <c r="T10" s="1053">
        <f t="shared" si="5"/>
        <v>0</v>
      </c>
      <c r="U10" s="1053">
        <f t="shared" si="6"/>
        <v>0</v>
      </c>
      <c r="V10" s="1054">
        <f t="shared" si="7"/>
        <v>0</v>
      </c>
      <c r="W10" s="3032"/>
      <c r="X10" s="3032"/>
      <c r="Y10" s="760"/>
      <c r="Z10" s="760"/>
      <c r="AA10" s="760"/>
      <c r="AB10" s="760"/>
      <c r="AC10" s="760"/>
      <c r="AD10" s="760"/>
      <c r="AE10" s="760"/>
      <c r="AF10" s="760"/>
      <c r="AG10" s="760"/>
      <c r="AH10" s="760"/>
      <c r="AI10" s="1055">
        <f t="shared" si="8"/>
        <v>0</v>
      </c>
      <c r="AJ10" s="1055">
        <f t="shared" si="9"/>
        <v>0</v>
      </c>
      <c r="AK10" s="1055">
        <f t="shared" si="10"/>
        <v>0</v>
      </c>
      <c r="AL10" s="1055">
        <f t="shared" si="11"/>
        <v>0</v>
      </c>
      <c r="AM10" s="1055">
        <f t="shared" si="12"/>
        <v>0</v>
      </c>
      <c r="AN10" s="1983">
        <f t="shared" si="13"/>
        <v>0</v>
      </c>
      <c r="AO10" s="1967" t="s">
        <v>1879</v>
      </c>
      <c r="AP10" s="1963">
        <v>80</v>
      </c>
      <c r="AQ10" s="1966">
        <v>100</v>
      </c>
      <c r="AR10" s="1963">
        <v>110</v>
      </c>
      <c r="AS10" s="1966">
        <v>110</v>
      </c>
      <c r="AT10" s="1963">
        <v>130</v>
      </c>
      <c r="AU10" s="1963">
        <v>140</v>
      </c>
      <c r="AV10" s="1963">
        <v>150</v>
      </c>
      <c r="AW10" s="1988">
        <v>16</v>
      </c>
      <c r="AX10" s="1989" t="s">
        <v>931</v>
      </c>
      <c r="AY10" s="760"/>
      <c r="AZ10" s="1965" t="s">
        <v>1879</v>
      </c>
      <c r="BA10" s="2517">
        <v>50</v>
      </c>
      <c r="BB10" s="2517">
        <v>55</v>
      </c>
      <c r="BC10" s="2517">
        <v>65</v>
      </c>
      <c r="BD10" s="2517">
        <v>65</v>
      </c>
      <c r="BE10" s="2517">
        <v>65</v>
      </c>
      <c r="BF10"/>
      <c r="BG10" s="1965" t="s">
        <v>1879</v>
      </c>
      <c r="BH10" s="2510">
        <v>70</v>
      </c>
      <c r="BI10" s="2510">
        <v>80</v>
      </c>
      <c r="BJ10" s="2510">
        <v>90</v>
      </c>
      <c r="BK10" s="2510">
        <v>90</v>
      </c>
      <c r="BL10" s="2510">
        <v>90</v>
      </c>
      <c r="BM10" s="2509">
        <f t="shared" si="14"/>
        <v>50</v>
      </c>
      <c r="BN10" s="2508">
        <v>50</v>
      </c>
      <c r="BO10" s="76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row>
    <row r="11" spans="1:258" ht="21" customHeight="1">
      <c r="A11" s="1049" t="s">
        <v>942</v>
      </c>
      <c r="B11" s="1056" t="str">
        <f t="shared" si="0"/>
        <v xml:space="preserve">g - </v>
      </c>
      <c r="C11" s="3042"/>
      <c r="D11" s="3043"/>
      <c r="E11" s="2028"/>
      <c r="F11" s="1601"/>
      <c r="G11" s="2023"/>
      <c r="H11" s="1057">
        <f t="shared" si="1"/>
        <v>0</v>
      </c>
      <c r="I11" s="1483">
        <f t="shared" si="2"/>
        <v>0</v>
      </c>
      <c r="J11" s="2022"/>
      <c r="K11" s="1450">
        <f t="shared" si="3"/>
        <v>0</v>
      </c>
      <c r="L11" s="1452">
        <f t="shared" si="4"/>
        <v>0</v>
      </c>
      <c r="M11" s="3009"/>
      <c r="N11" s="3009"/>
      <c r="O11" s="3009"/>
      <c r="P11" s="3010"/>
      <c r="Q11" s="3007"/>
      <c r="R11" s="3008">
        <f>P11*Q11</f>
        <v>0</v>
      </c>
      <c r="S11" s="1052"/>
      <c r="T11" s="1053">
        <f t="shared" si="5"/>
        <v>0</v>
      </c>
      <c r="U11" s="1053">
        <f t="shared" si="6"/>
        <v>0</v>
      </c>
      <c r="V11" s="1054">
        <f t="shared" si="7"/>
        <v>0</v>
      </c>
      <c r="W11" s="3032"/>
      <c r="X11" s="3032"/>
      <c r="Y11" s="760"/>
      <c r="Z11" s="760"/>
      <c r="AA11" s="760"/>
      <c r="AB11" s="760"/>
      <c r="AC11" s="760"/>
      <c r="AD11" s="760"/>
      <c r="AE11" s="760"/>
      <c r="AF11" s="760"/>
      <c r="AG11" s="760"/>
      <c r="AH11" s="760"/>
      <c r="AI11" s="1055">
        <f t="shared" si="8"/>
        <v>0</v>
      </c>
      <c r="AJ11" s="1055">
        <f t="shared" si="9"/>
        <v>0</v>
      </c>
      <c r="AK11" s="1055">
        <f t="shared" si="10"/>
        <v>0</v>
      </c>
      <c r="AL11" s="1055">
        <f t="shared" si="11"/>
        <v>0</v>
      </c>
      <c r="AM11" s="1055">
        <f t="shared" si="12"/>
        <v>0</v>
      </c>
      <c r="AN11" s="1983">
        <f t="shared" si="13"/>
        <v>0</v>
      </c>
      <c r="AO11" s="1967" t="s">
        <v>1989</v>
      </c>
      <c r="AP11" s="1963">
        <v>70</v>
      </c>
      <c r="AQ11" s="1966">
        <v>90</v>
      </c>
      <c r="AR11" s="1963">
        <v>100</v>
      </c>
      <c r="AS11" s="1966">
        <v>100</v>
      </c>
      <c r="AT11" s="1963">
        <v>115</v>
      </c>
      <c r="AU11" s="1963">
        <v>125</v>
      </c>
      <c r="AV11" s="1963">
        <v>135</v>
      </c>
      <c r="AW11" s="1988">
        <v>16</v>
      </c>
      <c r="AX11" s="1989" t="s">
        <v>931</v>
      </c>
      <c r="AY11" s="760"/>
      <c r="AZ11" s="1965" t="s">
        <v>1989</v>
      </c>
      <c r="BA11" s="2517">
        <v>50</v>
      </c>
      <c r="BB11" s="2517">
        <v>55</v>
      </c>
      <c r="BC11" s="2517">
        <v>65</v>
      </c>
      <c r="BD11" s="2517">
        <v>65</v>
      </c>
      <c r="BE11" s="2517">
        <v>65</v>
      </c>
      <c r="BF11"/>
      <c r="BG11" s="1965" t="s">
        <v>1989</v>
      </c>
      <c r="BH11" s="2510">
        <v>70</v>
      </c>
      <c r="BI11" s="2510">
        <v>80</v>
      </c>
      <c r="BJ11" s="2510">
        <v>90</v>
      </c>
      <c r="BK11" s="2510">
        <v>90</v>
      </c>
      <c r="BL11" s="2510">
        <v>90</v>
      </c>
      <c r="BM11" s="2509">
        <f t="shared" si="14"/>
        <v>50</v>
      </c>
      <c r="BN11" s="2508">
        <v>50</v>
      </c>
      <c r="BO11" s="760"/>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row>
    <row r="12" spans="1:258" ht="21" customHeight="1">
      <c r="A12" s="1049" t="s">
        <v>944</v>
      </c>
      <c r="B12" s="1056" t="str">
        <f t="shared" si="0"/>
        <v xml:space="preserve">h - </v>
      </c>
      <c r="C12" s="3042"/>
      <c r="D12" s="3043"/>
      <c r="E12" s="2028"/>
      <c r="F12" s="1601"/>
      <c r="G12" s="2023"/>
      <c r="H12" s="1057">
        <f t="shared" si="1"/>
        <v>0</v>
      </c>
      <c r="I12" s="1483">
        <f t="shared" si="2"/>
        <v>0</v>
      </c>
      <c r="J12" s="2022"/>
      <c r="K12" s="1450">
        <f t="shared" si="3"/>
        <v>0</v>
      </c>
      <c r="L12" s="1452">
        <f t="shared" si="4"/>
        <v>0</v>
      </c>
      <c r="M12" s="3038" t="s">
        <v>945</v>
      </c>
      <c r="N12" s="3038"/>
      <c r="O12" s="3038"/>
      <c r="P12" s="3010"/>
      <c r="Q12" s="3007">
        <v>30</v>
      </c>
      <c r="R12" s="3008">
        <f>P12*Q12</f>
        <v>0</v>
      </c>
      <c r="S12" s="1052"/>
      <c r="T12" s="1053">
        <f t="shared" si="5"/>
        <v>0</v>
      </c>
      <c r="U12" s="1053">
        <f t="shared" si="6"/>
        <v>0</v>
      </c>
      <c r="V12" s="1054">
        <f t="shared" si="7"/>
        <v>0</v>
      </c>
      <c r="W12" s="3032"/>
      <c r="X12" s="3032"/>
      <c r="Y12" s="760"/>
      <c r="Z12" s="760"/>
      <c r="AA12" s="760"/>
      <c r="AB12" s="760"/>
      <c r="AC12" s="760"/>
      <c r="AD12" s="760"/>
      <c r="AE12" s="760"/>
      <c r="AF12" s="760"/>
      <c r="AG12" s="760"/>
      <c r="AH12" s="760"/>
      <c r="AI12" s="1055">
        <f t="shared" si="8"/>
        <v>0</v>
      </c>
      <c r="AJ12" s="1055">
        <f t="shared" si="9"/>
        <v>0</v>
      </c>
      <c r="AK12" s="1055">
        <f t="shared" si="10"/>
        <v>0</v>
      </c>
      <c r="AL12" s="1055">
        <f t="shared" si="11"/>
        <v>0</v>
      </c>
      <c r="AM12" s="1055">
        <f t="shared" si="12"/>
        <v>0</v>
      </c>
      <c r="AN12" s="1983">
        <f t="shared" si="13"/>
        <v>0</v>
      </c>
      <c r="AO12" s="2233" t="s">
        <v>2004</v>
      </c>
      <c r="AP12" s="2010">
        <v>65</v>
      </c>
      <c r="AQ12" s="1966">
        <v>80</v>
      </c>
      <c r="AR12" s="2010">
        <v>90</v>
      </c>
      <c r="AS12" s="1966">
        <v>90</v>
      </c>
      <c r="AT12" s="2011">
        <v>105</v>
      </c>
      <c r="AU12" s="2010">
        <v>105</v>
      </c>
      <c r="AV12" s="2010">
        <v>105</v>
      </c>
      <c r="AW12" s="1988">
        <v>24</v>
      </c>
      <c r="AX12" s="1989" t="s">
        <v>931</v>
      </c>
      <c r="AY12" s="760"/>
      <c r="AZ12" s="1965" t="s">
        <v>2004</v>
      </c>
      <c r="BA12" s="2517">
        <v>50</v>
      </c>
      <c r="BB12" s="2517">
        <v>55</v>
      </c>
      <c r="BC12" s="2517">
        <v>65</v>
      </c>
      <c r="BD12" s="2517">
        <v>65</v>
      </c>
      <c r="BE12" s="2517">
        <v>65</v>
      </c>
      <c r="BF12"/>
      <c r="BG12" s="1965" t="s">
        <v>2004</v>
      </c>
      <c r="BH12" s="2510">
        <v>70</v>
      </c>
      <c r="BI12" s="2510">
        <v>80</v>
      </c>
      <c r="BJ12" s="2510">
        <v>90</v>
      </c>
      <c r="BK12" s="2510">
        <v>90</v>
      </c>
      <c r="BL12" s="2510">
        <v>90</v>
      </c>
      <c r="BM12" s="2509">
        <f t="shared" si="14"/>
        <v>50</v>
      </c>
      <c r="BN12" s="2508">
        <v>50</v>
      </c>
      <c r="BO12" s="760"/>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row>
    <row r="13" spans="1:258" ht="21" customHeight="1">
      <c r="A13" s="1049" t="s">
        <v>946</v>
      </c>
      <c r="B13" s="1056" t="str">
        <f t="shared" si="0"/>
        <v xml:space="preserve">i - </v>
      </c>
      <c r="C13" s="3042"/>
      <c r="D13" s="3043"/>
      <c r="E13" s="2028"/>
      <c r="F13" s="1601"/>
      <c r="G13" s="2023"/>
      <c r="H13" s="1057">
        <f t="shared" si="1"/>
        <v>0</v>
      </c>
      <c r="I13" s="1483">
        <f t="shared" si="2"/>
        <v>0</v>
      </c>
      <c r="J13" s="2022"/>
      <c r="K13" s="1450">
        <f t="shared" si="3"/>
        <v>0</v>
      </c>
      <c r="L13" s="1452">
        <f t="shared" si="4"/>
        <v>0</v>
      </c>
      <c r="M13" s="3038"/>
      <c r="N13" s="3038"/>
      <c r="O13" s="3038"/>
      <c r="P13" s="3010"/>
      <c r="Q13" s="3007"/>
      <c r="R13" s="3008"/>
      <c r="S13" s="1052"/>
      <c r="T13" s="1053">
        <f t="shared" si="5"/>
        <v>0</v>
      </c>
      <c r="U13" s="1053">
        <f t="shared" si="6"/>
        <v>0</v>
      </c>
      <c r="V13" s="1054">
        <f t="shared" si="7"/>
        <v>0</v>
      </c>
      <c r="W13" s="3032"/>
      <c r="X13" s="3032"/>
      <c r="Y13" s="760"/>
      <c r="Z13" s="760"/>
      <c r="AA13" s="760"/>
      <c r="AB13" s="760"/>
      <c r="AC13" s="760"/>
      <c r="AD13" s="760"/>
      <c r="AE13" s="760"/>
      <c r="AF13" s="760"/>
      <c r="AG13" s="760"/>
      <c r="AH13" s="760"/>
      <c r="AI13" s="1055">
        <f t="shared" si="8"/>
        <v>0</v>
      </c>
      <c r="AJ13" s="1055">
        <f t="shared" si="9"/>
        <v>0</v>
      </c>
      <c r="AK13" s="1055">
        <f t="shared" si="10"/>
        <v>0</v>
      </c>
      <c r="AL13" s="1055">
        <f t="shared" si="11"/>
        <v>0</v>
      </c>
      <c r="AM13" s="1055">
        <f t="shared" si="12"/>
        <v>0</v>
      </c>
      <c r="AN13" s="1983">
        <f t="shared" si="13"/>
        <v>0</v>
      </c>
      <c r="AO13" s="1965" t="s">
        <v>943</v>
      </c>
      <c r="AP13" s="1963">
        <v>80</v>
      </c>
      <c r="AQ13" s="1966">
        <v>100</v>
      </c>
      <c r="AR13" s="1963">
        <v>110</v>
      </c>
      <c r="AS13" s="1966">
        <v>110</v>
      </c>
      <c r="AT13" s="2012">
        <v>130</v>
      </c>
      <c r="AU13" s="1963">
        <v>140</v>
      </c>
      <c r="AV13" s="2013">
        <v>150</v>
      </c>
      <c r="AW13" s="1988">
        <v>18</v>
      </c>
      <c r="AX13" s="1989" t="s">
        <v>931</v>
      </c>
      <c r="AY13" s="760"/>
      <c r="AZ13" s="1967" t="s">
        <v>943</v>
      </c>
      <c r="BA13" s="2517">
        <v>50</v>
      </c>
      <c r="BB13" s="2517">
        <v>55</v>
      </c>
      <c r="BC13" s="2517">
        <v>65</v>
      </c>
      <c r="BD13" s="2517">
        <v>65</v>
      </c>
      <c r="BE13" s="2517">
        <v>65</v>
      </c>
      <c r="BF13"/>
      <c r="BG13" s="1967" t="s">
        <v>943</v>
      </c>
      <c r="BH13" s="2510">
        <v>70</v>
      </c>
      <c r="BI13" s="2510">
        <v>80</v>
      </c>
      <c r="BJ13" s="2510">
        <v>90</v>
      </c>
      <c r="BK13" s="2510">
        <v>90</v>
      </c>
      <c r="BL13" s="2510">
        <v>90</v>
      </c>
      <c r="BM13" s="2509">
        <f t="shared" si="14"/>
        <v>50</v>
      </c>
      <c r="BN13" s="2508">
        <v>50</v>
      </c>
      <c r="BO13" s="760"/>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row>
    <row r="14" spans="1:258" ht="21" customHeight="1">
      <c r="A14" s="1049" t="s">
        <v>947</v>
      </c>
      <c r="B14" s="1056" t="str">
        <f t="shared" si="0"/>
        <v xml:space="preserve">j - </v>
      </c>
      <c r="C14" s="3042"/>
      <c r="D14" s="3043"/>
      <c r="E14" s="2028"/>
      <c r="F14" s="1601"/>
      <c r="G14" s="2023"/>
      <c r="H14" s="1057">
        <f t="shared" si="1"/>
        <v>0</v>
      </c>
      <c r="I14" s="1483">
        <f t="shared" si="2"/>
        <v>0</v>
      </c>
      <c r="J14" s="2022"/>
      <c r="K14" s="1450">
        <f t="shared" si="3"/>
        <v>0</v>
      </c>
      <c r="L14" s="1452">
        <f t="shared" si="4"/>
        <v>0</v>
      </c>
      <c r="M14" s="3038"/>
      <c r="N14" s="3038"/>
      <c r="O14" s="3038"/>
      <c r="P14" s="3010"/>
      <c r="Q14" s="3007"/>
      <c r="R14" s="3008"/>
      <c r="S14" s="1052"/>
      <c r="T14" s="1053">
        <f t="shared" si="5"/>
        <v>0</v>
      </c>
      <c r="U14" s="1053">
        <f t="shared" si="6"/>
        <v>0</v>
      </c>
      <c r="V14" s="1054">
        <f t="shared" si="7"/>
        <v>0</v>
      </c>
      <c r="W14" s="3032"/>
      <c r="X14" s="3032"/>
      <c r="Y14" s="760"/>
      <c r="Z14" s="760"/>
      <c r="AA14" s="760"/>
      <c r="AB14" s="760"/>
      <c r="AC14" s="760"/>
      <c r="AD14" s="760"/>
      <c r="AE14" s="760"/>
      <c r="AF14" s="760"/>
      <c r="AG14" s="760"/>
      <c r="AH14" s="760"/>
      <c r="AI14" s="1055">
        <f t="shared" si="8"/>
        <v>0</v>
      </c>
      <c r="AJ14" s="1055">
        <f t="shared" si="9"/>
        <v>0</v>
      </c>
      <c r="AK14" s="1055">
        <f t="shared" si="10"/>
        <v>0</v>
      </c>
      <c r="AL14" s="1055">
        <f t="shared" si="11"/>
        <v>0</v>
      </c>
      <c r="AM14" s="1055">
        <f t="shared" si="12"/>
        <v>0</v>
      </c>
      <c r="AN14" s="1983">
        <f t="shared" si="13"/>
        <v>0</v>
      </c>
      <c r="AO14" s="1965" t="s">
        <v>1881</v>
      </c>
      <c r="AP14" s="1963">
        <v>55</v>
      </c>
      <c r="AQ14" s="1966">
        <v>70</v>
      </c>
      <c r="AR14" s="1963">
        <v>75</v>
      </c>
      <c r="AS14" s="1966">
        <v>80</v>
      </c>
      <c r="AT14" s="2012">
        <v>90</v>
      </c>
      <c r="AU14" s="1963">
        <v>100</v>
      </c>
      <c r="AV14" s="2013">
        <v>105</v>
      </c>
      <c r="AW14" s="1988">
        <v>14</v>
      </c>
      <c r="AX14" s="1989" t="s">
        <v>931</v>
      </c>
      <c r="AY14" s="760"/>
      <c r="AZ14" s="1967" t="s">
        <v>1881</v>
      </c>
      <c r="BA14" s="2517">
        <v>50</v>
      </c>
      <c r="BB14" s="2517">
        <v>55</v>
      </c>
      <c r="BC14" s="2517">
        <v>65</v>
      </c>
      <c r="BD14" s="2517">
        <v>65</v>
      </c>
      <c r="BE14" s="2517">
        <v>65</v>
      </c>
      <c r="BF14"/>
      <c r="BG14" s="1967" t="s">
        <v>1881</v>
      </c>
      <c r="BH14" s="2510">
        <v>70</v>
      </c>
      <c r="BI14" s="2510">
        <v>80</v>
      </c>
      <c r="BJ14" s="2510">
        <v>90</v>
      </c>
      <c r="BK14" s="2510">
        <v>90</v>
      </c>
      <c r="BL14" s="2510">
        <v>90</v>
      </c>
      <c r="BM14" s="2509">
        <f t="shared" si="14"/>
        <v>50</v>
      </c>
      <c r="BN14" s="2508">
        <v>50</v>
      </c>
      <c r="BO14" s="760"/>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row>
    <row r="15" spans="1:258" ht="21" customHeight="1">
      <c r="A15" s="1049" t="s">
        <v>948</v>
      </c>
      <c r="B15" s="1056" t="str">
        <f t="shared" si="0"/>
        <v xml:space="preserve">k - </v>
      </c>
      <c r="C15" s="3042"/>
      <c r="D15" s="3043"/>
      <c r="E15" s="2028"/>
      <c r="F15" s="1601"/>
      <c r="G15" s="2023"/>
      <c r="H15" s="1057">
        <f t="shared" si="1"/>
        <v>0</v>
      </c>
      <c r="I15" s="1483">
        <f t="shared" si="2"/>
        <v>0</v>
      </c>
      <c r="J15" s="2022"/>
      <c r="K15" s="1450">
        <f t="shared" si="3"/>
        <v>0</v>
      </c>
      <c r="L15" s="1452">
        <f t="shared" si="4"/>
        <v>0</v>
      </c>
      <c r="M15" s="3034" t="s">
        <v>949</v>
      </c>
      <c r="N15" s="3034"/>
      <c r="O15" s="3034"/>
      <c r="P15" s="3010"/>
      <c r="Q15" s="3007">
        <v>40</v>
      </c>
      <c r="R15" s="3008">
        <f>P15*Q15</f>
        <v>0</v>
      </c>
      <c r="S15" s="1052"/>
      <c r="T15" s="1053">
        <f t="shared" si="5"/>
        <v>0</v>
      </c>
      <c r="U15" s="1053">
        <f t="shared" si="6"/>
        <v>0</v>
      </c>
      <c r="V15" s="1054">
        <f t="shared" si="7"/>
        <v>0</v>
      </c>
      <c r="W15" s="3032"/>
      <c r="X15" s="3032"/>
      <c r="Y15" s="760"/>
      <c r="Z15" s="760"/>
      <c r="AA15" s="760"/>
      <c r="AB15" s="760"/>
      <c r="AC15" s="760"/>
      <c r="AD15" s="760"/>
      <c r="AE15" s="760"/>
      <c r="AF15" s="760"/>
      <c r="AG15" s="760"/>
      <c r="AH15" s="760"/>
      <c r="AI15" s="1055">
        <f t="shared" si="8"/>
        <v>0</v>
      </c>
      <c r="AJ15" s="1055">
        <f t="shared" si="9"/>
        <v>0</v>
      </c>
      <c r="AK15" s="1055">
        <f t="shared" si="10"/>
        <v>0</v>
      </c>
      <c r="AL15" s="1055">
        <f t="shared" si="11"/>
        <v>0</v>
      </c>
      <c r="AM15" s="1055">
        <f t="shared" si="12"/>
        <v>0</v>
      </c>
      <c r="AN15" s="1983">
        <f t="shared" si="13"/>
        <v>0</v>
      </c>
      <c r="AO15" s="1965" t="s">
        <v>936</v>
      </c>
      <c r="AP15" s="1963">
        <v>110</v>
      </c>
      <c r="AQ15" s="1966">
        <v>140</v>
      </c>
      <c r="AR15" s="1963">
        <v>155</v>
      </c>
      <c r="AS15" s="1966">
        <v>160</v>
      </c>
      <c r="AT15" s="2012">
        <v>180</v>
      </c>
      <c r="AU15" s="1963">
        <v>195</v>
      </c>
      <c r="AV15" s="2013">
        <v>210</v>
      </c>
      <c r="AW15" s="1988">
        <v>13</v>
      </c>
      <c r="AX15" s="1989" t="s">
        <v>950</v>
      </c>
      <c r="AY15" s="760"/>
      <c r="AZ15" s="1967" t="s">
        <v>936</v>
      </c>
      <c r="BA15" s="2517">
        <v>75</v>
      </c>
      <c r="BB15" s="2517">
        <v>85</v>
      </c>
      <c r="BC15" s="2517">
        <v>100</v>
      </c>
      <c r="BD15" s="2517">
        <v>100</v>
      </c>
      <c r="BE15" s="2517">
        <v>100</v>
      </c>
      <c r="BF15"/>
      <c r="BG15" s="1967" t="s">
        <v>936</v>
      </c>
      <c r="BH15" s="2510">
        <v>180</v>
      </c>
      <c r="BI15" s="2510">
        <v>200</v>
      </c>
      <c r="BJ15" s="2510">
        <v>230</v>
      </c>
      <c r="BK15" s="2510">
        <v>230</v>
      </c>
      <c r="BL15" s="2510">
        <v>230</v>
      </c>
      <c r="BM15" s="2507">
        <v>120</v>
      </c>
      <c r="BN15" s="2508">
        <v>120</v>
      </c>
      <c r="BO15" s="760"/>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row>
    <row r="16" spans="1:258" ht="21" customHeight="1">
      <c r="A16" s="1049" t="s">
        <v>951</v>
      </c>
      <c r="B16" s="1056" t="str">
        <f t="shared" si="0"/>
        <v xml:space="preserve">l - </v>
      </c>
      <c r="C16" s="3042"/>
      <c r="D16" s="3043"/>
      <c r="E16" s="2028"/>
      <c r="F16" s="1601"/>
      <c r="G16" s="2023"/>
      <c r="H16" s="1057">
        <f t="shared" si="1"/>
        <v>0</v>
      </c>
      <c r="I16" s="1483">
        <f t="shared" si="2"/>
        <v>0</v>
      </c>
      <c r="J16" s="2022"/>
      <c r="K16" s="1450">
        <f t="shared" si="3"/>
        <v>0</v>
      </c>
      <c r="L16" s="1452">
        <f t="shared" si="4"/>
        <v>0</v>
      </c>
      <c r="M16" s="3034"/>
      <c r="N16" s="3034"/>
      <c r="O16" s="3034"/>
      <c r="P16" s="3010"/>
      <c r="Q16" s="3007"/>
      <c r="R16" s="3008">
        <f>P16*Q16</f>
        <v>0</v>
      </c>
      <c r="S16" s="1052"/>
      <c r="T16" s="1053">
        <f t="shared" si="5"/>
        <v>0</v>
      </c>
      <c r="U16" s="1053">
        <f t="shared" si="6"/>
        <v>0</v>
      </c>
      <c r="V16" s="1054">
        <f t="shared" si="7"/>
        <v>0</v>
      </c>
      <c r="W16" s="3032"/>
      <c r="X16" s="3032"/>
      <c r="Y16" s="760"/>
      <c r="Z16" s="760"/>
      <c r="AA16" s="760"/>
      <c r="AB16" s="760"/>
      <c r="AC16" s="760"/>
      <c r="AD16" s="760"/>
      <c r="AE16" s="760"/>
      <c r="AF16" s="760"/>
      <c r="AG16" s="760"/>
      <c r="AH16" s="760"/>
      <c r="AI16" s="1055">
        <f t="shared" si="8"/>
        <v>0</v>
      </c>
      <c r="AJ16" s="1055">
        <f t="shared" si="9"/>
        <v>0</v>
      </c>
      <c r="AK16" s="1055">
        <f t="shared" si="10"/>
        <v>0</v>
      </c>
      <c r="AL16" s="1055">
        <f t="shared" si="11"/>
        <v>0</v>
      </c>
      <c r="AM16" s="1055">
        <f t="shared" si="12"/>
        <v>0</v>
      </c>
      <c r="AN16" s="1983">
        <f t="shared" si="13"/>
        <v>0</v>
      </c>
      <c r="AO16" s="1965" t="s">
        <v>1886</v>
      </c>
      <c r="AP16" s="1963">
        <v>130</v>
      </c>
      <c r="AQ16" s="1966">
        <v>160</v>
      </c>
      <c r="AR16" s="1963">
        <v>175</v>
      </c>
      <c r="AS16" s="1966">
        <v>180</v>
      </c>
      <c r="AT16" s="2012">
        <v>210</v>
      </c>
      <c r="AU16" s="1963">
        <v>225</v>
      </c>
      <c r="AV16" s="2013">
        <v>240</v>
      </c>
      <c r="AW16" s="1988">
        <v>4</v>
      </c>
      <c r="AX16" s="1989" t="s">
        <v>950</v>
      </c>
      <c r="AY16" s="760"/>
      <c r="AZ16" s="1967" t="s">
        <v>1886</v>
      </c>
      <c r="BA16" s="2517">
        <v>80</v>
      </c>
      <c r="BB16" s="2517">
        <v>90</v>
      </c>
      <c r="BC16" s="2517">
        <v>105</v>
      </c>
      <c r="BD16" s="2517">
        <v>105</v>
      </c>
      <c r="BE16" s="2517">
        <v>105</v>
      </c>
      <c r="BF16"/>
      <c r="BG16" s="1967" t="s">
        <v>1886</v>
      </c>
      <c r="BH16" s="2510">
        <v>205</v>
      </c>
      <c r="BI16" s="2510">
        <v>225</v>
      </c>
      <c r="BJ16" s="2510">
        <v>260</v>
      </c>
      <c r="BK16" s="2510">
        <v>260</v>
      </c>
      <c r="BL16" s="2510">
        <v>260</v>
      </c>
      <c r="BM16" s="2509">
        <v>0</v>
      </c>
      <c r="BN16" s="2508">
        <v>0</v>
      </c>
      <c r="BO16" s="760"/>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row>
    <row r="17" spans="1:258" ht="21" customHeight="1">
      <c r="A17" s="1059" t="s">
        <v>952</v>
      </c>
      <c r="B17" s="1056" t="str">
        <f t="shared" si="0"/>
        <v xml:space="preserve">m - </v>
      </c>
      <c r="C17" s="3042"/>
      <c r="D17" s="3043"/>
      <c r="E17" s="2029"/>
      <c r="F17" s="1601"/>
      <c r="G17" s="2023"/>
      <c r="H17" s="1057">
        <f t="shared" si="1"/>
        <v>0</v>
      </c>
      <c r="I17" s="1483">
        <f t="shared" si="2"/>
        <v>0</v>
      </c>
      <c r="J17" s="2022"/>
      <c r="K17" s="1450">
        <f t="shared" si="3"/>
        <v>0</v>
      </c>
      <c r="L17" s="1452">
        <f t="shared" si="4"/>
        <v>0</v>
      </c>
      <c r="M17" s="3036" t="s">
        <v>953</v>
      </c>
      <c r="N17" s="3036"/>
      <c r="O17" s="3036"/>
      <c r="P17" s="3036"/>
      <c r="Q17" s="3036"/>
      <c r="R17" s="3037">
        <f>SUM(R5:R15)</f>
        <v>0</v>
      </c>
      <c r="S17" s="1052"/>
      <c r="T17" s="1053">
        <f t="shared" si="5"/>
        <v>0</v>
      </c>
      <c r="U17" s="1053">
        <f t="shared" si="6"/>
        <v>0</v>
      </c>
      <c r="V17" s="1054">
        <f t="shared" si="7"/>
        <v>0</v>
      </c>
      <c r="W17" s="3032"/>
      <c r="X17" s="3032"/>
      <c r="Y17" s="760"/>
      <c r="Z17" s="760"/>
      <c r="AA17" s="760"/>
      <c r="AB17" s="760"/>
      <c r="AC17" s="760"/>
      <c r="AD17" s="760"/>
      <c r="AE17" s="760"/>
      <c r="AF17" s="760"/>
      <c r="AG17" s="760"/>
      <c r="AH17" s="760"/>
      <c r="AI17" s="1055">
        <f t="shared" si="8"/>
        <v>0</v>
      </c>
      <c r="AJ17" s="1055">
        <f t="shared" si="9"/>
        <v>0</v>
      </c>
      <c r="AK17" s="1055">
        <f t="shared" si="10"/>
        <v>0</v>
      </c>
      <c r="AL17" s="1055">
        <f t="shared" si="11"/>
        <v>0</v>
      </c>
      <c r="AM17" s="1055">
        <f t="shared" si="12"/>
        <v>0</v>
      </c>
      <c r="AN17" s="1983">
        <f t="shared" si="13"/>
        <v>0</v>
      </c>
      <c r="AO17" s="1965" t="s">
        <v>1891</v>
      </c>
      <c r="AP17" s="1963">
        <v>110</v>
      </c>
      <c r="AQ17" s="1966">
        <v>140</v>
      </c>
      <c r="AR17" s="1963">
        <v>155</v>
      </c>
      <c r="AS17" s="1966">
        <v>160</v>
      </c>
      <c r="AT17" s="2012">
        <v>180</v>
      </c>
      <c r="AU17" s="1963">
        <v>195</v>
      </c>
      <c r="AV17" s="2013">
        <v>210</v>
      </c>
      <c r="AW17" s="1988"/>
      <c r="AX17" s="1990"/>
      <c r="AY17" s="760"/>
      <c r="AZ17" s="1967" t="s">
        <v>1891</v>
      </c>
      <c r="BA17" s="2517">
        <v>75</v>
      </c>
      <c r="BB17" s="2517">
        <v>85</v>
      </c>
      <c r="BC17" s="2517">
        <v>100</v>
      </c>
      <c r="BD17" s="2517">
        <v>100</v>
      </c>
      <c r="BE17" s="2517">
        <v>100</v>
      </c>
      <c r="BF17"/>
      <c r="BG17" s="1967" t="s">
        <v>1891</v>
      </c>
      <c r="BH17" s="2510">
        <v>190</v>
      </c>
      <c r="BI17" s="2510">
        <v>210</v>
      </c>
      <c r="BJ17" s="2510">
        <v>240</v>
      </c>
      <c r="BK17" s="2510">
        <v>240</v>
      </c>
      <c r="BL17" s="2510">
        <v>240</v>
      </c>
      <c r="BM17" s="2507">
        <v>170</v>
      </c>
      <c r="BN17" s="2508">
        <v>170</v>
      </c>
      <c r="BO17" s="760"/>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row>
    <row r="18" spans="1:258" ht="21" customHeight="1">
      <c r="A18" s="1049" t="s">
        <v>954</v>
      </c>
      <c r="B18" s="1056" t="str">
        <f t="shared" si="0"/>
        <v>n - diverse Grünbrachen zB Biodiv.</v>
      </c>
      <c r="C18" s="3042" t="s">
        <v>1022</v>
      </c>
      <c r="D18" s="3043"/>
      <c r="E18" s="2029"/>
      <c r="F18" s="1601"/>
      <c r="G18" s="2023"/>
      <c r="H18" s="1057">
        <f t="shared" si="1"/>
        <v>0</v>
      </c>
      <c r="I18" s="1483">
        <f t="shared" si="2"/>
        <v>0</v>
      </c>
      <c r="J18" s="2022"/>
      <c r="K18" s="1450">
        <f t="shared" si="3"/>
        <v>0</v>
      </c>
      <c r="L18" s="1452">
        <f t="shared" si="4"/>
        <v>0</v>
      </c>
      <c r="M18" s="3036"/>
      <c r="N18" s="3036"/>
      <c r="O18" s="3036"/>
      <c r="P18" s="3036"/>
      <c r="Q18" s="3036"/>
      <c r="R18" s="3037"/>
      <c r="S18" s="1052"/>
      <c r="T18" s="1060">
        <f t="shared" si="5"/>
        <v>0</v>
      </c>
      <c r="U18" s="1060">
        <f t="shared" si="6"/>
        <v>0</v>
      </c>
      <c r="V18" s="1054">
        <f t="shared" si="7"/>
        <v>0</v>
      </c>
      <c r="W18" s="3032"/>
      <c r="X18" s="3032"/>
      <c r="Y18" s="760"/>
      <c r="Z18" s="760"/>
      <c r="AA18" s="760"/>
      <c r="AB18" s="760"/>
      <c r="AC18" s="760"/>
      <c r="AD18" s="760"/>
      <c r="AE18" s="760"/>
      <c r="AF18" s="760"/>
      <c r="AG18" s="760"/>
      <c r="AH18" s="760"/>
      <c r="AI18" s="1055">
        <f t="shared" si="8"/>
        <v>0</v>
      </c>
      <c r="AJ18" s="1055">
        <f t="shared" si="9"/>
        <v>0</v>
      </c>
      <c r="AK18" s="1055">
        <f t="shared" si="10"/>
        <v>0</v>
      </c>
      <c r="AL18" s="1055">
        <f t="shared" si="11"/>
        <v>0</v>
      </c>
      <c r="AM18" s="1055">
        <f t="shared" si="12"/>
        <v>0</v>
      </c>
      <c r="AN18" s="1983">
        <f t="shared" si="13"/>
        <v>0</v>
      </c>
      <c r="AO18" s="1965" t="s">
        <v>1892</v>
      </c>
      <c r="AP18" s="1963">
        <v>130</v>
      </c>
      <c r="AQ18" s="1966">
        <v>140</v>
      </c>
      <c r="AR18" s="1963">
        <v>175</v>
      </c>
      <c r="AS18" s="1966">
        <v>160</v>
      </c>
      <c r="AT18" s="2012">
        <v>210</v>
      </c>
      <c r="AU18" s="1963">
        <v>225</v>
      </c>
      <c r="AV18" s="2013">
        <v>240</v>
      </c>
      <c r="AW18" s="1988"/>
      <c r="AX18" s="1990"/>
      <c r="AY18" s="760"/>
      <c r="AZ18" s="1967" t="s">
        <v>1892</v>
      </c>
      <c r="BA18" s="2517">
        <v>85</v>
      </c>
      <c r="BB18" s="2517">
        <v>95</v>
      </c>
      <c r="BC18" s="2517">
        <v>110</v>
      </c>
      <c r="BD18" s="2517">
        <v>110</v>
      </c>
      <c r="BE18" s="2517">
        <v>110</v>
      </c>
      <c r="BF18"/>
      <c r="BG18" s="1967" t="s">
        <v>1892</v>
      </c>
      <c r="BH18" s="2510">
        <v>340</v>
      </c>
      <c r="BI18" s="2510">
        <v>375</v>
      </c>
      <c r="BJ18" s="2510">
        <v>430</v>
      </c>
      <c r="BK18" s="2510">
        <v>430</v>
      </c>
      <c r="BL18" s="2510">
        <v>430</v>
      </c>
      <c r="BM18" s="2509">
        <v>0</v>
      </c>
      <c r="BN18" s="2508">
        <v>0</v>
      </c>
      <c r="BO18" s="760"/>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row>
    <row r="19" spans="1:258" ht="21" customHeight="1">
      <c r="A19" s="1049"/>
      <c r="B19" s="1056" t="s">
        <v>955</v>
      </c>
      <c r="C19" s="2225" t="s">
        <v>955</v>
      </c>
      <c r="D19" s="2034"/>
      <c r="E19" s="2025" t="s">
        <v>424</v>
      </c>
      <c r="F19" s="1061"/>
      <c r="G19" s="1039" t="s">
        <v>921</v>
      </c>
      <c r="H19" s="1061"/>
      <c r="I19" s="1447" t="s">
        <v>922</v>
      </c>
      <c r="J19" s="1062"/>
      <c r="K19" s="1453"/>
      <c r="L19" s="1454" t="s">
        <v>922</v>
      </c>
      <c r="M19" s="3014" t="s">
        <v>1866</v>
      </c>
      <c r="N19" s="3015"/>
      <c r="O19" s="3015"/>
      <c r="P19" s="3015"/>
      <c r="Q19" s="3015"/>
      <c r="R19" s="3016"/>
      <c r="S19" s="1052"/>
      <c r="T19" s="1063"/>
      <c r="U19" s="1063"/>
      <c r="V19" s="1064">
        <f>SUM(V5:V18)</f>
        <v>0</v>
      </c>
      <c r="W19" s="760"/>
      <c r="X19" s="760"/>
      <c r="Y19" s="760"/>
      <c r="Z19" s="760"/>
      <c r="AA19" s="760"/>
      <c r="AB19" s="760"/>
      <c r="AC19" s="760"/>
      <c r="AD19" s="760"/>
      <c r="AE19" s="760"/>
      <c r="AF19" s="760"/>
      <c r="AG19" s="760"/>
      <c r="AH19" s="760"/>
      <c r="AI19" s="1065"/>
      <c r="AJ19" s="1065"/>
      <c r="AK19" s="1065"/>
      <c r="AL19" s="1065"/>
      <c r="AM19" s="1065"/>
      <c r="AN19" s="1984"/>
      <c r="AO19" s="1965" t="s">
        <v>1893</v>
      </c>
      <c r="AP19" s="1963">
        <v>130</v>
      </c>
      <c r="AQ19" s="1966">
        <v>140</v>
      </c>
      <c r="AR19" s="1963">
        <v>175</v>
      </c>
      <c r="AS19" s="1966">
        <v>160</v>
      </c>
      <c r="AT19" s="2012">
        <v>210</v>
      </c>
      <c r="AU19" s="1963">
        <v>225</v>
      </c>
      <c r="AV19" s="2013">
        <v>240</v>
      </c>
      <c r="AW19" s="1988"/>
      <c r="AX19" s="1990"/>
      <c r="AY19" s="760"/>
      <c r="AZ19" s="1967" t="s">
        <v>1893</v>
      </c>
      <c r="BA19" s="2517">
        <v>85</v>
      </c>
      <c r="BB19" s="2517">
        <v>95</v>
      </c>
      <c r="BC19" s="2517">
        <v>110</v>
      </c>
      <c r="BD19" s="2517">
        <v>110</v>
      </c>
      <c r="BE19" s="2517">
        <v>110</v>
      </c>
      <c r="BF19"/>
      <c r="BG19" s="1967" t="s">
        <v>1893</v>
      </c>
      <c r="BH19" s="2510">
        <v>340</v>
      </c>
      <c r="BI19" s="2510">
        <v>375</v>
      </c>
      <c r="BJ19" s="2510">
        <v>430</v>
      </c>
      <c r="BK19" s="2510">
        <v>430</v>
      </c>
      <c r="BL19" s="2510">
        <v>430</v>
      </c>
      <c r="BM19" s="2509">
        <v>0</v>
      </c>
      <c r="BN19" s="2508">
        <v>0</v>
      </c>
      <c r="BO19" s="760"/>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row>
    <row r="20" spans="1:258" ht="25.5" customHeight="1">
      <c r="A20" s="1049" t="s">
        <v>956</v>
      </c>
      <c r="B20" s="1056" t="str">
        <f t="shared" ref="B20:B25" si="15">CONCATENATE(A20," - ",C20)</f>
        <v xml:space="preserve">o - </v>
      </c>
      <c r="C20" s="3044"/>
      <c r="D20" s="3044"/>
      <c r="E20" s="2813"/>
      <c r="F20" s="2814"/>
      <c r="G20" s="2023"/>
      <c r="H20" s="1057">
        <f t="shared" ref="H20:H25" si="16">IF(AND(ISNA(AK20),ISBLANK(C20)),0,IF(ISNA(AK20),G20,AK20))</f>
        <v>0</v>
      </c>
      <c r="I20" s="1483">
        <f t="shared" ref="I20:I25" si="17">E20*H20</f>
        <v>0</v>
      </c>
      <c r="J20" s="2022"/>
      <c r="K20" s="1450">
        <f t="shared" ref="K20:K25" si="18">IF(ISNA(AL20),0,AL20)</f>
        <v>0</v>
      </c>
      <c r="L20" s="1451">
        <f t="shared" ref="L20:L25" si="19">IF(ISBLANK(J20),E20*K20,E20*J20)</f>
        <v>0</v>
      </c>
      <c r="M20" s="3017"/>
      <c r="N20" s="3018"/>
      <c r="O20" s="3018"/>
      <c r="P20" s="3018"/>
      <c r="Q20" s="3018"/>
      <c r="R20" s="3019"/>
      <c r="S20" s="1066"/>
      <c r="T20" s="1067">
        <f t="shared" ref="T20:T25" si="20">IF(ISNA(AM20),0,AM20)</f>
        <v>0</v>
      </c>
      <c r="U20" s="1053">
        <f t="shared" ref="U20:U25" si="21">IF(ISBLANK(S20),E20*T20,E20*S20)</f>
        <v>0</v>
      </c>
      <c r="V20" s="1068"/>
      <c r="W20" s="760"/>
      <c r="X20" s="760"/>
      <c r="Y20" s="760"/>
      <c r="Z20" s="760"/>
      <c r="AA20" s="760"/>
      <c r="AB20" s="760"/>
      <c r="AC20" s="760"/>
      <c r="AD20" s="760"/>
      <c r="AE20" s="760"/>
      <c r="AF20" s="760"/>
      <c r="AG20" s="760"/>
      <c r="AH20" s="760"/>
      <c r="AI20" s="1055">
        <f t="shared" ref="AI20:AI25" si="22">IF(I20&gt;0,E20,0)</f>
        <v>0</v>
      </c>
      <c r="AJ20" s="1055">
        <f t="shared" ref="AJ20:AJ25" si="23">IF(ISBLANK(F20),0,VLOOKUP(C20,Liste_N_Bedarf,9,0))</f>
        <v>0</v>
      </c>
      <c r="AK20" s="1055">
        <f t="shared" ref="AK20:AK25" si="24">IF(F20="niedrig",VLOOKUP(C20,Liste_N_GL,2,0),IF(F20="GW Sbg mittel",VLOOKUP(C20,Liste_N_GL,3,0),IF(F20="mittel",VLOOKUP(C20,Liste_N_GL,4,0),IF(F20="GW Sbg hoch",VLOOKUP(C20,Liste_N_GL,5,0),IF(F20="hoch",VLOOKUP(C20,Liste_N_GL,6,0),0)))))</f>
        <v>0</v>
      </c>
      <c r="AL20" s="1055">
        <f t="shared" ref="AL20:AL25" si="25">IF(F20="niedrig",VLOOKUP(C20,Liste_P_Bedarf,2,0),IF(F20="GW Sbg mittel",VLOOKUP(C20,Liste_P_Bedarf,3,0),IF(F20="mittel",VLOOKUP(C20,Liste_P_Bedarf,3,0),IF(F20="GW Sbg hoch",VLOOKUP(C20,Liste_P_Bedarf,4,0),IF(F20="hoch",VLOOKUP(C20,Liste_P_Bedarf,4,0),0)))))</f>
        <v>0</v>
      </c>
      <c r="AM20" s="1055">
        <f t="shared" ref="AM20:AM25" si="26">IF(F20="niedrig",VLOOKUP(C20,Liste_K_Bedarf,2,0),IF(F20="GW Sbg mittel",VLOOKUP(C20,Liste_K_Bedarf,3,0),IF(F20="mittel",VLOOKUP(C20,Liste_K_Bedarf,3,0),IF(F20="GW Sbg hoch",VLOOKUP(C20,Liste_K_Bedarf,4,0),IF(F20="hoch",VLOOKUP(C20,Liste_K_Bedarf,4,0),0)))))</f>
        <v>0</v>
      </c>
      <c r="AN20" s="1984"/>
      <c r="AO20" s="1965" t="s">
        <v>1898</v>
      </c>
      <c r="AP20" s="1963">
        <v>60</v>
      </c>
      <c r="AQ20" s="1966">
        <v>0</v>
      </c>
      <c r="AR20" s="1963">
        <v>60</v>
      </c>
      <c r="AS20" s="1966">
        <v>0</v>
      </c>
      <c r="AT20" s="2012">
        <v>60</v>
      </c>
      <c r="AU20" s="1963">
        <v>60</v>
      </c>
      <c r="AV20" s="2013">
        <v>60</v>
      </c>
      <c r="AW20" s="1988"/>
      <c r="AX20" s="1990"/>
      <c r="AY20" s="760"/>
      <c r="AZ20" s="1967" t="s">
        <v>1898</v>
      </c>
      <c r="BA20" s="2517">
        <v>60</v>
      </c>
      <c r="BB20" s="2517">
        <v>65</v>
      </c>
      <c r="BC20" s="2517">
        <v>75</v>
      </c>
      <c r="BD20" s="2517">
        <v>75</v>
      </c>
      <c r="BE20" s="2517">
        <v>75</v>
      </c>
      <c r="BF20"/>
      <c r="BG20" s="1967" t="s">
        <v>1898</v>
      </c>
      <c r="BH20" s="2510">
        <v>110</v>
      </c>
      <c r="BI20" s="2510">
        <v>120</v>
      </c>
      <c r="BJ20" s="2510">
        <v>140</v>
      </c>
      <c r="BK20" s="2510">
        <v>140</v>
      </c>
      <c r="BL20" s="2510">
        <v>140</v>
      </c>
      <c r="BM20" s="2507">
        <v>45</v>
      </c>
      <c r="BN20" s="2508">
        <v>45</v>
      </c>
      <c r="BO20" s="76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row>
    <row r="21" spans="1:258" ht="25.5" customHeight="1">
      <c r="A21" s="1049" t="s">
        <v>957</v>
      </c>
      <c r="B21" s="1056" t="str">
        <f t="shared" si="15"/>
        <v xml:space="preserve">p - </v>
      </c>
      <c r="C21" s="3044"/>
      <c r="D21" s="3044"/>
      <c r="E21" s="2813"/>
      <c r="F21" s="2814"/>
      <c r="G21" s="2023"/>
      <c r="H21" s="1057">
        <f t="shared" si="16"/>
        <v>0</v>
      </c>
      <c r="I21" s="1483">
        <f t="shared" si="17"/>
        <v>0</v>
      </c>
      <c r="J21" s="2022"/>
      <c r="K21" s="1450">
        <f t="shared" si="18"/>
        <v>0</v>
      </c>
      <c r="L21" s="1452">
        <f t="shared" si="19"/>
        <v>0</v>
      </c>
      <c r="M21" s="3017"/>
      <c r="N21" s="3018"/>
      <c r="O21" s="3018"/>
      <c r="P21" s="3018"/>
      <c r="Q21" s="3018"/>
      <c r="R21" s="3019"/>
      <c r="S21" s="1066"/>
      <c r="T21" s="1067">
        <f t="shared" si="20"/>
        <v>0</v>
      </c>
      <c r="U21" s="1053">
        <f t="shared" si="21"/>
        <v>0</v>
      </c>
      <c r="V21" s="1068"/>
      <c r="W21" s="760"/>
      <c r="X21" s="760"/>
      <c r="Y21" s="760"/>
      <c r="Z21" s="760"/>
      <c r="AA21" s="760"/>
      <c r="AB21" s="760"/>
      <c r="AC21" s="760"/>
      <c r="AD21" s="760"/>
      <c r="AE21" s="760"/>
      <c r="AF21" s="760"/>
      <c r="AG21" s="760"/>
      <c r="AH21" s="760"/>
      <c r="AI21" s="1055">
        <f t="shared" si="22"/>
        <v>0</v>
      </c>
      <c r="AJ21" s="1055">
        <f t="shared" si="23"/>
        <v>0</v>
      </c>
      <c r="AK21" s="1055">
        <f t="shared" si="24"/>
        <v>0</v>
      </c>
      <c r="AL21" s="1055">
        <f t="shared" si="25"/>
        <v>0</v>
      </c>
      <c r="AM21" s="1055">
        <f t="shared" si="26"/>
        <v>0</v>
      </c>
      <c r="AN21" s="1984"/>
      <c r="AO21" s="1965" t="s">
        <v>1901</v>
      </c>
      <c r="AP21" s="1963">
        <v>60</v>
      </c>
      <c r="AQ21" s="1966">
        <v>0</v>
      </c>
      <c r="AR21" s="1963">
        <v>60</v>
      </c>
      <c r="AS21" s="1966">
        <v>0</v>
      </c>
      <c r="AT21" s="2012">
        <v>60</v>
      </c>
      <c r="AU21" s="1963">
        <v>60</v>
      </c>
      <c r="AV21" s="2013">
        <v>60</v>
      </c>
      <c r="AW21" s="1988"/>
      <c r="AX21" s="1990"/>
      <c r="AY21" s="760"/>
      <c r="AZ21" s="1967" t="s">
        <v>1901</v>
      </c>
      <c r="BA21" s="2517">
        <v>60</v>
      </c>
      <c r="BB21" s="2517">
        <v>65</v>
      </c>
      <c r="BC21" s="2517">
        <v>75</v>
      </c>
      <c r="BD21" s="2517">
        <v>75</v>
      </c>
      <c r="BE21" s="2517">
        <v>75</v>
      </c>
      <c r="BF21"/>
      <c r="BG21" s="1967" t="s">
        <v>1901</v>
      </c>
      <c r="BH21" s="2510">
        <v>90</v>
      </c>
      <c r="BI21" s="2510">
        <v>100</v>
      </c>
      <c r="BJ21" s="2510">
        <v>115</v>
      </c>
      <c r="BK21" s="2510">
        <v>115</v>
      </c>
      <c r="BL21" s="2510">
        <v>115</v>
      </c>
      <c r="BM21" s="2507">
        <v>40</v>
      </c>
      <c r="BN21" s="2508">
        <v>40</v>
      </c>
      <c r="BO21" s="760"/>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row>
    <row r="22" spans="1:258" ht="25.5" customHeight="1">
      <c r="A22" s="1049" t="s">
        <v>958</v>
      </c>
      <c r="B22" s="1056" t="str">
        <f t="shared" si="15"/>
        <v xml:space="preserve">q - </v>
      </c>
      <c r="C22" s="3044"/>
      <c r="D22" s="3044"/>
      <c r="E22" s="2813"/>
      <c r="F22" s="2814"/>
      <c r="G22" s="2023"/>
      <c r="H22" s="1057">
        <f t="shared" si="16"/>
        <v>0</v>
      </c>
      <c r="I22" s="1483">
        <f t="shared" si="17"/>
        <v>0</v>
      </c>
      <c r="J22" s="2022"/>
      <c r="K22" s="1450">
        <f t="shared" si="18"/>
        <v>0</v>
      </c>
      <c r="L22" s="1452">
        <f t="shared" si="19"/>
        <v>0</v>
      </c>
      <c r="M22" s="3017"/>
      <c r="N22" s="3018"/>
      <c r="O22" s="3018"/>
      <c r="P22" s="3018"/>
      <c r="Q22" s="3018"/>
      <c r="R22" s="3019"/>
      <c r="S22" s="1066"/>
      <c r="T22" s="1067">
        <f t="shared" si="20"/>
        <v>0</v>
      </c>
      <c r="U22" s="1053">
        <f t="shared" si="21"/>
        <v>0</v>
      </c>
      <c r="V22" s="3020" t="s">
        <v>959</v>
      </c>
      <c r="W22" s="760"/>
      <c r="X22" s="760"/>
      <c r="Y22" s="760"/>
      <c r="Z22" s="760"/>
      <c r="AA22" s="760"/>
      <c r="AB22" s="760"/>
      <c r="AC22" s="760"/>
      <c r="AD22" s="760"/>
      <c r="AE22" s="760"/>
      <c r="AF22" s="760"/>
      <c r="AG22" s="760"/>
      <c r="AH22" s="760"/>
      <c r="AI22" s="1055">
        <f t="shared" si="22"/>
        <v>0</v>
      </c>
      <c r="AJ22" s="1055">
        <f t="shared" si="23"/>
        <v>0</v>
      </c>
      <c r="AK22" s="1055">
        <f t="shared" si="24"/>
        <v>0</v>
      </c>
      <c r="AL22" s="1055">
        <f t="shared" si="25"/>
        <v>0</v>
      </c>
      <c r="AM22" s="1055">
        <f t="shared" si="26"/>
        <v>0</v>
      </c>
      <c r="AN22" s="1984"/>
      <c r="AO22" s="1965" t="s">
        <v>1903</v>
      </c>
      <c r="AP22" s="1963">
        <v>60</v>
      </c>
      <c r="AQ22" s="1966">
        <v>0</v>
      </c>
      <c r="AR22" s="1963">
        <v>60</v>
      </c>
      <c r="AS22" s="1966">
        <v>0</v>
      </c>
      <c r="AT22" s="2012">
        <v>60</v>
      </c>
      <c r="AU22" s="1963">
        <v>60</v>
      </c>
      <c r="AV22" s="2013">
        <v>60</v>
      </c>
      <c r="AW22" s="1988"/>
      <c r="AX22" s="1990"/>
      <c r="AY22" s="760"/>
      <c r="AZ22" s="1967" t="s">
        <v>1903</v>
      </c>
      <c r="BA22" s="2517">
        <v>60</v>
      </c>
      <c r="BB22" s="2517">
        <v>65</v>
      </c>
      <c r="BC22" s="2517">
        <v>75</v>
      </c>
      <c r="BD22" s="2517">
        <v>75</v>
      </c>
      <c r="BE22" s="2517">
        <v>75</v>
      </c>
      <c r="BF22"/>
      <c r="BG22" s="1967" t="s">
        <v>1903</v>
      </c>
      <c r="BH22" s="2510">
        <v>80</v>
      </c>
      <c r="BI22" s="2510">
        <v>90</v>
      </c>
      <c r="BJ22" s="2510">
        <v>105</v>
      </c>
      <c r="BK22" s="2510">
        <v>105</v>
      </c>
      <c r="BL22" s="2510">
        <v>105</v>
      </c>
      <c r="BM22" s="2507">
        <v>40</v>
      </c>
      <c r="BN22" s="2508">
        <v>40</v>
      </c>
      <c r="BO22" s="760"/>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row>
    <row r="23" spans="1:258" ht="25.5" customHeight="1">
      <c r="A23" s="1049" t="s">
        <v>960</v>
      </c>
      <c r="B23" s="1056" t="str">
        <f t="shared" si="15"/>
        <v xml:space="preserve">r - </v>
      </c>
      <c r="C23" s="3044"/>
      <c r="D23" s="3044"/>
      <c r="E23" s="2813"/>
      <c r="F23" s="2814"/>
      <c r="G23" s="2023"/>
      <c r="H23" s="1057">
        <f t="shared" si="16"/>
        <v>0</v>
      </c>
      <c r="I23" s="1483">
        <f t="shared" si="17"/>
        <v>0</v>
      </c>
      <c r="J23" s="2022"/>
      <c r="K23" s="1450">
        <f t="shared" si="18"/>
        <v>0</v>
      </c>
      <c r="L23" s="1452">
        <f t="shared" si="19"/>
        <v>0</v>
      </c>
      <c r="M23" s="1069"/>
      <c r="N23" s="1070"/>
      <c r="O23" s="1070"/>
      <c r="P23" s="1070"/>
      <c r="Q23" s="1070"/>
      <c r="R23" s="1071"/>
      <c r="S23" s="1066"/>
      <c r="T23" s="1067">
        <f t="shared" si="20"/>
        <v>0</v>
      </c>
      <c r="U23" s="1053">
        <f t="shared" si="21"/>
        <v>0</v>
      </c>
      <c r="V23" s="3020"/>
      <c r="W23" s="760"/>
      <c r="X23" s="760"/>
      <c r="Y23" s="760"/>
      <c r="Z23" s="760"/>
      <c r="AA23" s="760"/>
      <c r="AB23" s="760"/>
      <c r="AC23" s="760"/>
      <c r="AD23" s="760"/>
      <c r="AE23" s="760"/>
      <c r="AF23" s="760"/>
      <c r="AG23" s="760"/>
      <c r="AH23" s="760"/>
      <c r="AI23" s="1055">
        <f t="shared" si="22"/>
        <v>0</v>
      </c>
      <c r="AJ23" s="1055">
        <f t="shared" si="23"/>
        <v>0</v>
      </c>
      <c r="AK23" s="1055">
        <f t="shared" si="24"/>
        <v>0</v>
      </c>
      <c r="AL23" s="1055">
        <f t="shared" si="25"/>
        <v>0</v>
      </c>
      <c r="AM23" s="1055">
        <f t="shared" si="26"/>
        <v>0</v>
      </c>
      <c r="AN23" s="1984"/>
      <c r="AO23" s="1965" t="s">
        <v>1894</v>
      </c>
      <c r="AP23" s="1963">
        <v>110</v>
      </c>
      <c r="AQ23" s="1966">
        <v>140</v>
      </c>
      <c r="AR23" s="1963">
        <v>155</v>
      </c>
      <c r="AS23" s="1966">
        <v>160</v>
      </c>
      <c r="AT23" s="2012">
        <v>180</v>
      </c>
      <c r="AU23" s="1963">
        <v>195</v>
      </c>
      <c r="AV23" s="2013">
        <v>210</v>
      </c>
      <c r="AW23" s="1988">
        <v>33</v>
      </c>
      <c r="AX23" s="1990"/>
      <c r="AY23" s="760"/>
      <c r="AZ23" s="1967" t="s">
        <v>1894</v>
      </c>
      <c r="BA23" s="2517">
        <v>70</v>
      </c>
      <c r="BB23" s="2517">
        <v>75</v>
      </c>
      <c r="BC23" s="2517">
        <v>85</v>
      </c>
      <c r="BD23" s="2517">
        <v>85</v>
      </c>
      <c r="BE23" s="2517">
        <v>85</v>
      </c>
      <c r="BF23"/>
      <c r="BG23" s="1967" t="s">
        <v>1894</v>
      </c>
      <c r="BH23" s="2510">
        <v>180</v>
      </c>
      <c r="BI23" s="2510">
        <v>200</v>
      </c>
      <c r="BJ23" s="2510">
        <v>230</v>
      </c>
      <c r="BK23" s="2510">
        <v>230</v>
      </c>
      <c r="BL23" s="2510">
        <v>230</v>
      </c>
      <c r="BM23" s="2507">
        <v>120</v>
      </c>
      <c r="BN23" s="2508">
        <v>120</v>
      </c>
      <c r="BO23" s="760"/>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row>
    <row r="24" spans="1:258" ht="25.5" customHeight="1">
      <c r="A24" s="1049" t="s">
        <v>961</v>
      </c>
      <c r="B24" s="1056" t="str">
        <f t="shared" si="15"/>
        <v xml:space="preserve">s - </v>
      </c>
      <c r="C24" s="3044"/>
      <c r="D24" s="3044"/>
      <c r="E24" s="2813"/>
      <c r="F24" s="2814"/>
      <c r="G24" s="2023"/>
      <c r="H24" s="1057">
        <f t="shared" si="16"/>
        <v>0</v>
      </c>
      <c r="I24" s="1483">
        <f t="shared" si="17"/>
        <v>0</v>
      </c>
      <c r="J24" s="2022"/>
      <c r="K24" s="1450">
        <f t="shared" si="18"/>
        <v>0</v>
      </c>
      <c r="L24" s="1452">
        <f t="shared" si="19"/>
        <v>0</v>
      </c>
      <c r="M24" s="3021" t="str">
        <f>IF(Mineral!H50&lt;=0,"",IF((AND(Tabelle1!AO14=1,(L27/Betrieb!E14)&gt;100)),"Der Phosphoreinsatz liegt über 100 kg je ha LN, eine Dokumentation und Begründung ist erforderlich!",""))</f>
        <v/>
      </c>
      <c r="N24" s="3021"/>
      <c r="O24" s="3021"/>
      <c r="P24" s="3021"/>
      <c r="Q24" s="3021"/>
      <c r="R24" s="3021"/>
      <c r="S24" s="1066"/>
      <c r="T24" s="1067">
        <f t="shared" si="20"/>
        <v>0</v>
      </c>
      <c r="U24" s="1053">
        <f t="shared" si="21"/>
        <v>0</v>
      </c>
      <c r="V24" s="3020"/>
      <c r="W24" s="760"/>
      <c r="X24" s="760"/>
      <c r="Y24" s="760"/>
      <c r="Z24" s="760"/>
      <c r="AA24" s="760"/>
      <c r="AB24" s="760"/>
      <c r="AC24" s="760"/>
      <c r="AD24" s="760"/>
      <c r="AE24" s="760"/>
      <c r="AF24" s="760"/>
      <c r="AG24" s="760"/>
      <c r="AH24" s="760"/>
      <c r="AI24" s="1055">
        <f t="shared" si="22"/>
        <v>0</v>
      </c>
      <c r="AJ24" s="1055">
        <f t="shared" si="23"/>
        <v>0</v>
      </c>
      <c r="AK24" s="1055">
        <f t="shared" si="24"/>
        <v>0</v>
      </c>
      <c r="AL24" s="1055">
        <f t="shared" si="25"/>
        <v>0</v>
      </c>
      <c r="AM24" s="1055">
        <f t="shared" si="26"/>
        <v>0</v>
      </c>
      <c r="AN24" s="1984"/>
      <c r="AO24" s="1965" t="s">
        <v>1904</v>
      </c>
      <c r="AP24" s="1963">
        <v>50</v>
      </c>
      <c r="AQ24" s="1966">
        <v>60</v>
      </c>
      <c r="AR24" s="1963">
        <v>65</v>
      </c>
      <c r="AS24" s="1966">
        <v>70</v>
      </c>
      <c r="AT24" s="2012">
        <v>80</v>
      </c>
      <c r="AU24" s="1963">
        <v>85</v>
      </c>
      <c r="AV24" s="2013">
        <v>90</v>
      </c>
      <c r="AW24" s="1988">
        <v>26</v>
      </c>
      <c r="AX24" s="1990"/>
      <c r="AY24" s="760"/>
      <c r="AZ24" s="1967" t="s">
        <v>1904</v>
      </c>
      <c r="BA24" s="2517">
        <v>60</v>
      </c>
      <c r="BB24" s="2517">
        <v>65</v>
      </c>
      <c r="BC24" s="2517">
        <v>75</v>
      </c>
      <c r="BD24" s="2517">
        <v>75</v>
      </c>
      <c r="BE24" s="2517">
        <v>75</v>
      </c>
      <c r="BF24"/>
      <c r="BG24" s="1967" t="s">
        <v>1904</v>
      </c>
      <c r="BH24" s="2510">
        <v>180</v>
      </c>
      <c r="BI24" s="2510">
        <v>200</v>
      </c>
      <c r="BJ24" s="2510">
        <v>230</v>
      </c>
      <c r="BK24" s="2510">
        <v>230</v>
      </c>
      <c r="BL24" s="2510">
        <v>230</v>
      </c>
      <c r="BM24" s="2507">
        <v>150</v>
      </c>
      <c r="BN24" s="2508">
        <v>150</v>
      </c>
      <c r="BO24" s="760"/>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row>
    <row r="25" spans="1:258" ht="25.5" customHeight="1" thickBot="1">
      <c r="A25" s="1049" t="s">
        <v>962</v>
      </c>
      <c r="B25" s="1056" t="str">
        <f t="shared" si="15"/>
        <v xml:space="preserve">t - </v>
      </c>
      <c r="C25" s="3044"/>
      <c r="D25" s="3044"/>
      <c r="E25" s="2813"/>
      <c r="F25" s="2814"/>
      <c r="G25" s="2023"/>
      <c r="H25" s="1057">
        <f t="shared" si="16"/>
        <v>0</v>
      </c>
      <c r="I25" s="1483">
        <f t="shared" si="17"/>
        <v>0</v>
      </c>
      <c r="J25" s="2022"/>
      <c r="K25" s="1450">
        <f t="shared" si="18"/>
        <v>0</v>
      </c>
      <c r="L25" s="1452">
        <f t="shared" si="19"/>
        <v>0</v>
      </c>
      <c r="M25" s="3021"/>
      <c r="N25" s="3021"/>
      <c r="O25" s="3021"/>
      <c r="P25" s="3021"/>
      <c r="Q25" s="3021"/>
      <c r="R25" s="3021"/>
      <c r="S25" s="1066"/>
      <c r="T25" s="1067">
        <f t="shared" si="20"/>
        <v>0</v>
      </c>
      <c r="U25" s="1053">
        <f t="shared" si="21"/>
        <v>0</v>
      </c>
      <c r="V25" s="3020"/>
      <c r="W25" s="760"/>
      <c r="X25" s="760"/>
      <c r="Y25" s="760"/>
      <c r="Z25" s="760"/>
      <c r="AA25" s="760"/>
      <c r="AB25" s="760"/>
      <c r="AC25" s="760"/>
      <c r="AD25" s="760"/>
      <c r="AE25" s="760"/>
      <c r="AF25" s="760"/>
      <c r="AG25" s="760"/>
      <c r="AH25" s="760"/>
      <c r="AI25" s="1072">
        <f t="shared" si="22"/>
        <v>0</v>
      </c>
      <c r="AJ25" s="1055">
        <f t="shared" si="23"/>
        <v>0</v>
      </c>
      <c r="AK25" s="1055">
        <f t="shared" si="24"/>
        <v>0</v>
      </c>
      <c r="AL25" s="1055">
        <f t="shared" si="25"/>
        <v>0</v>
      </c>
      <c r="AM25" s="1055">
        <f t="shared" si="26"/>
        <v>0</v>
      </c>
      <c r="AN25" s="1984"/>
      <c r="AO25" s="2233" t="s">
        <v>2146</v>
      </c>
      <c r="AP25" s="2010">
        <v>90</v>
      </c>
      <c r="AQ25" s="1966">
        <v>110</v>
      </c>
      <c r="AR25" s="2010">
        <v>120</v>
      </c>
      <c r="AS25" s="1966">
        <v>130</v>
      </c>
      <c r="AT25" s="2011">
        <v>145</v>
      </c>
      <c r="AU25" s="2010">
        <v>155</v>
      </c>
      <c r="AV25" s="2010">
        <v>165</v>
      </c>
      <c r="AW25" s="1988">
        <v>1.8</v>
      </c>
      <c r="AX25" s="1990"/>
      <c r="AY25" s="760"/>
      <c r="AZ25" s="2233" t="s">
        <v>2146</v>
      </c>
      <c r="BA25" s="2517">
        <v>75</v>
      </c>
      <c r="BB25" s="2517">
        <v>85</v>
      </c>
      <c r="BC25" s="2517">
        <v>100</v>
      </c>
      <c r="BD25" s="2517">
        <v>100</v>
      </c>
      <c r="BE25" s="2517">
        <v>100</v>
      </c>
      <c r="BF25"/>
      <c r="BG25" s="2233" t="s">
        <v>2146</v>
      </c>
      <c r="BH25" s="2510">
        <v>290</v>
      </c>
      <c r="BI25" s="2510">
        <v>320</v>
      </c>
      <c r="BJ25" s="2510">
        <v>370</v>
      </c>
      <c r="BK25" s="2510">
        <v>370</v>
      </c>
      <c r="BL25" s="2510">
        <v>370</v>
      </c>
      <c r="BM25" s="2507">
        <v>150</v>
      </c>
      <c r="BN25" s="2508">
        <v>150</v>
      </c>
      <c r="BO25" s="760"/>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row>
    <row r="26" spans="1:258" ht="21.75" customHeight="1" thickBot="1">
      <c r="A26" s="760"/>
      <c r="B26" s="1056"/>
      <c r="C26" s="2226" t="s">
        <v>1710</v>
      </c>
      <c r="D26" s="2030"/>
      <c r="E26" s="1073"/>
      <c r="F26" s="1073"/>
      <c r="G26" s="1073"/>
      <c r="H26" s="1074"/>
      <c r="I26" s="1483">
        <f>-R17</f>
        <v>0</v>
      </c>
      <c r="J26" s="1081"/>
      <c r="K26" s="1082" t="s">
        <v>965</v>
      </c>
      <c r="L26" s="1083">
        <f>SUM(L5:L25)</f>
        <v>0</v>
      </c>
      <c r="M26" s="3021"/>
      <c r="N26" s="3021"/>
      <c r="O26" s="3021"/>
      <c r="P26" s="3021"/>
      <c r="Q26" s="3021"/>
      <c r="R26" s="3021"/>
      <c r="S26" s="1467"/>
      <c r="T26" s="1468"/>
      <c r="U26" s="1075"/>
      <c r="V26" s="3020"/>
      <c r="W26" s="1068"/>
      <c r="X26" s="1076"/>
      <c r="Y26" s="1076"/>
      <c r="Z26" s="1076"/>
      <c r="AA26" s="1076"/>
      <c r="AB26" s="1076"/>
      <c r="AC26" s="1076"/>
      <c r="AD26" s="1076"/>
      <c r="AE26" s="1076"/>
      <c r="AF26" s="760"/>
      <c r="AG26" s="760"/>
      <c r="AH26" s="760"/>
      <c r="AI26" s="1077">
        <f>SUM(AI5:AI25)</f>
        <v>0</v>
      </c>
      <c r="AJ26" s="1068"/>
      <c r="AK26" s="1068"/>
      <c r="AL26" s="1068"/>
      <c r="AM26" s="1068"/>
      <c r="AN26" s="1068"/>
      <c r="AO26" s="1965" t="s">
        <v>1062</v>
      </c>
      <c r="AP26" s="1963">
        <v>110</v>
      </c>
      <c r="AQ26" s="1966">
        <v>140</v>
      </c>
      <c r="AR26" s="1963">
        <v>155</v>
      </c>
      <c r="AS26" s="1966">
        <v>150</v>
      </c>
      <c r="AT26" s="2012">
        <v>180</v>
      </c>
      <c r="AU26" s="1963">
        <v>180</v>
      </c>
      <c r="AV26" s="2013">
        <v>180</v>
      </c>
      <c r="AW26" s="1988">
        <v>1.4</v>
      </c>
      <c r="AX26" s="1990"/>
      <c r="AY26" s="760"/>
      <c r="AZ26" s="1967" t="s">
        <v>1062</v>
      </c>
      <c r="BA26" s="2517">
        <v>75</v>
      </c>
      <c r="BB26" s="2517">
        <v>85</v>
      </c>
      <c r="BC26" s="2517">
        <v>100</v>
      </c>
      <c r="BD26" s="2517">
        <v>100</v>
      </c>
      <c r="BE26" s="2517">
        <v>100</v>
      </c>
      <c r="BF26"/>
      <c r="BG26" s="1967" t="s">
        <v>1062</v>
      </c>
      <c r="BH26" s="2510">
        <v>290</v>
      </c>
      <c r="BI26" s="2510">
        <v>320</v>
      </c>
      <c r="BJ26" s="2510">
        <v>370</v>
      </c>
      <c r="BK26" s="2510">
        <v>370</v>
      </c>
      <c r="BL26" s="2510">
        <v>370</v>
      </c>
      <c r="BM26" s="2507">
        <v>150</v>
      </c>
      <c r="BN26" s="2508">
        <v>150</v>
      </c>
      <c r="BO26" s="760"/>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row>
    <row r="27" spans="1:258" ht="21.75" customHeight="1">
      <c r="A27" s="760"/>
      <c r="B27" s="659"/>
      <c r="C27" s="2227" t="s">
        <v>964</v>
      </c>
      <c r="D27" s="2014"/>
      <c r="E27" s="1079"/>
      <c r="F27" s="1079"/>
      <c r="G27" s="1079"/>
      <c r="H27" s="1080"/>
      <c r="I27" s="1448">
        <f>SUM(I5:I26)</f>
        <v>0</v>
      </c>
      <c r="J27" s="1081"/>
      <c r="K27" s="1082" t="s">
        <v>969</v>
      </c>
      <c r="L27" s="1083">
        <f>Tabelle1!BI33</f>
        <v>0</v>
      </c>
      <c r="M27" s="3022" t="str">
        <f>IF(AND(Tabelle1!AO14=1,L29&gt;0),"P-Mineraldünger reduzieren und eventuell den P-Bedarf genau nach Bodenversorgung und Ertragslagen eingeben!","")</f>
        <v>P-Mineraldünger reduzieren und eventuell den P-Bedarf genau nach Bodenversorgung und Ertragslagen eingeben!</v>
      </c>
      <c r="N27" s="3022"/>
      <c r="O27" s="3022"/>
      <c r="P27" s="3022"/>
      <c r="Q27" s="3022"/>
      <c r="R27" s="3022"/>
      <c r="S27" s="1084"/>
      <c r="T27" s="1465" t="s">
        <v>966</v>
      </c>
      <c r="U27" s="1085">
        <f>-V19</f>
        <v>0</v>
      </c>
      <c r="V27" s="1086" t="s">
        <v>60</v>
      </c>
      <c r="W27" s="760"/>
      <c r="X27" s="760"/>
      <c r="Y27" s="760"/>
      <c r="Z27" s="760"/>
      <c r="AA27" s="760"/>
      <c r="AB27" s="760"/>
      <c r="AC27" s="760"/>
      <c r="AD27" s="760"/>
      <c r="AE27" s="760"/>
      <c r="AF27" s="760"/>
      <c r="AG27" s="760"/>
      <c r="AH27" s="760"/>
      <c r="AI27" s="751" t="s">
        <v>967</v>
      </c>
      <c r="AJ27" s="760"/>
      <c r="AK27" s="760"/>
      <c r="AL27" s="760"/>
      <c r="AM27" s="760"/>
      <c r="AN27" s="760"/>
      <c r="AO27" s="1965" t="s">
        <v>1890</v>
      </c>
      <c r="AP27" s="1963">
        <v>90</v>
      </c>
      <c r="AQ27" s="1966">
        <v>110</v>
      </c>
      <c r="AR27" s="1963">
        <v>120</v>
      </c>
      <c r="AS27" s="1966">
        <v>125</v>
      </c>
      <c r="AT27" s="2012">
        <v>145</v>
      </c>
      <c r="AU27" s="1963">
        <v>145</v>
      </c>
      <c r="AV27" s="2013">
        <v>145</v>
      </c>
      <c r="AW27" s="1988">
        <v>5</v>
      </c>
      <c r="AX27" s="1990"/>
      <c r="AY27" s="760"/>
      <c r="AZ27" s="1967" t="s">
        <v>1890</v>
      </c>
      <c r="BA27" s="2517">
        <v>55</v>
      </c>
      <c r="BB27" s="2517">
        <v>60</v>
      </c>
      <c r="BC27" s="2517">
        <v>70</v>
      </c>
      <c r="BD27" s="2517">
        <v>70</v>
      </c>
      <c r="BE27" s="2517">
        <v>70</v>
      </c>
      <c r="BF27"/>
      <c r="BG27" s="1967" t="s">
        <v>1890</v>
      </c>
      <c r="BH27" s="2510">
        <v>160</v>
      </c>
      <c r="BI27" s="2510">
        <v>180</v>
      </c>
      <c r="BJ27" s="2510">
        <v>205</v>
      </c>
      <c r="BK27" s="2510">
        <v>205</v>
      </c>
      <c r="BL27" s="2510">
        <v>205</v>
      </c>
      <c r="BM27" s="2507">
        <v>40</v>
      </c>
      <c r="BN27" s="2508">
        <v>40</v>
      </c>
      <c r="BO27" s="760"/>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row>
    <row r="28" spans="1:258" ht="21.75" customHeight="1">
      <c r="A28" s="760"/>
      <c r="C28" s="2228" t="s">
        <v>968</v>
      </c>
      <c r="D28" s="2015"/>
      <c r="E28" s="1087"/>
      <c r="F28" s="1087"/>
      <c r="G28" s="1079"/>
      <c r="H28" s="1080"/>
      <c r="I28" s="1448">
        <f>Tabelle1!AX78</f>
        <v>0</v>
      </c>
      <c r="J28" s="1081"/>
      <c r="K28" s="1602" t="s">
        <v>1730</v>
      </c>
      <c r="L28" s="1600" t="e">
        <f>L27/Betrieb!E14</f>
        <v>#DIV/0!</v>
      </c>
      <c r="M28" s="3022"/>
      <c r="N28" s="3022"/>
      <c r="O28" s="3022"/>
      <c r="P28" s="3022"/>
      <c r="Q28" s="3022"/>
      <c r="R28" s="3022"/>
      <c r="S28" s="1088"/>
      <c r="T28" s="1466" t="s">
        <v>970</v>
      </c>
      <c r="U28" s="1085">
        <f>SUM(U5:U27)</f>
        <v>0</v>
      </c>
      <c r="V28" s="3065" t="s">
        <v>1768</v>
      </c>
      <c r="W28" s="3066"/>
      <c r="X28" s="3066"/>
      <c r="Y28" s="1013"/>
      <c r="Z28" s="1013"/>
      <c r="AA28" s="1013"/>
      <c r="AB28" s="1013"/>
      <c r="AC28" s="1013"/>
      <c r="AD28" s="1013"/>
      <c r="AE28" s="1013"/>
      <c r="AF28" s="760"/>
      <c r="AG28" s="760"/>
      <c r="AH28" s="760"/>
      <c r="AI28" s="1013"/>
      <c r="AJ28" s="1013"/>
      <c r="AK28" s="760"/>
      <c r="AL28" s="1044" t="s">
        <v>971</v>
      </c>
      <c r="AM28" s="1089" t="s">
        <v>972</v>
      </c>
      <c r="AN28" s="1985" t="s">
        <v>973</v>
      </c>
      <c r="AO28" s="2233" t="s">
        <v>2147</v>
      </c>
      <c r="AP28" s="2010">
        <v>105</v>
      </c>
      <c r="AQ28" s="1966">
        <v>130</v>
      </c>
      <c r="AR28" s="2010">
        <v>145</v>
      </c>
      <c r="AS28" s="1966">
        <v>150</v>
      </c>
      <c r="AT28" s="2011">
        <v>170</v>
      </c>
      <c r="AU28" s="2010">
        <v>180</v>
      </c>
      <c r="AV28" s="2010">
        <v>195</v>
      </c>
      <c r="AW28" s="1988">
        <v>3.5</v>
      </c>
      <c r="AX28" s="1990"/>
      <c r="AY28" s="760"/>
      <c r="AZ28" s="2233" t="s">
        <v>2147</v>
      </c>
      <c r="BA28" s="2517">
        <v>60</v>
      </c>
      <c r="BB28" s="2517">
        <v>65</v>
      </c>
      <c r="BC28" s="2517">
        <v>75</v>
      </c>
      <c r="BD28" s="2517">
        <v>75</v>
      </c>
      <c r="BE28" s="2517">
        <v>75</v>
      </c>
      <c r="BF28"/>
      <c r="BG28" s="2233" t="s">
        <v>2147</v>
      </c>
      <c r="BH28" s="2510">
        <v>180</v>
      </c>
      <c r="BI28" s="2510">
        <v>200</v>
      </c>
      <c r="BJ28" s="2510">
        <v>230</v>
      </c>
      <c r="BK28" s="2510">
        <v>230</v>
      </c>
      <c r="BL28" s="2510">
        <v>230</v>
      </c>
      <c r="BM28" s="2507">
        <v>60</v>
      </c>
      <c r="BN28" s="2508">
        <v>60</v>
      </c>
      <c r="BO28" s="760"/>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row>
    <row r="29" spans="1:258" ht="27.75" customHeight="1">
      <c r="A29" s="760"/>
      <c r="C29" s="3061" t="str">
        <f>IF(I29&lt;=0,"Der N-Saldo ist ok!","Der N-Saldo ist nicht ok!")</f>
        <v>Der N-Saldo ist ok!</v>
      </c>
      <c r="D29" s="3062"/>
      <c r="E29" s="3063"/>
      <c r="F29" s="3064"/>
      <c r="G29" s="1592"/>
      <c r="H29" s="1593" t="s">
        <v>974</v>
      </c>
      <c r="I29" s="1595">
        <f>IF(I28&gt;0,I28-I27,0)</f>
        <v>0</v>
      </c>
      <c r="J29" s="1081"/>
      <c r="K29" s="1594" t="s">
        <v>73</v>
      </c>
      <c r="L29" s="1595" t="str">
        <f>IF(AND(Mineral!H50&gt;0,L27&gt;0),L27-L26,"Ok!")</f>
        <v>Ok!</v>
      </c>
      <c r="M29" s="3022"/>
      <c r="N29" s="3022"/>
      <c r="O29" s="3022"/>
      <c r="P29" s="3022"/>
      <c r="Q29" s="3022"/>
      <c r="R29" s="3022"/>
      <c r="S29" s="1088"/>
      <c r="T29" s="1466" t="s">
        <v>975</v>
      </c>
      <c r="U29" s="1085">
        <f>Tabelle1!BO33</f>
        <v>0</v>
      </c>
      <c r="V29" s="3065"/>
      <c r="W29" s="3066"/>
      <c r="X29" s="3066"/>
      <c r="Y29" s="1013"/>
      <c r="Z29" s="1013"/>
      <c r="AA29" s="1013"/>
      <c r="AB29" s="1013"/>
      <c r="AC29" s="1013"/>
      <c r="AD29" s="1013"/>
      <c r="AE29" s="1013"/>
      <c r="AF29" s="760"/>
      <c r="AG29" s="760"/>
      <c r="AH29" s="760"/>
      <c r="AI29" s="1013"/>
      <c r="AJ29" s="1013"/>
      <c r="AK29" s="760"/>
      <c r="AL29" s="1090" t="s">
        <v>976</v>
      </c>
      <c r="AM29" s="15" t="s">
        <v>910</v>
      </c>
      <c r="AN29" s="1986" t="s">
        <v>910</v>
      </c>
      <c r="AO29" s="1967" t="s">
        <v>1906</v>
      </c>
      <c r="AP29" s="1963">
        <v>100</v>
      </c>
      <c r="AQ29" s="1966">
        <v>100</v>
      </c>
      <c r="AR29" s="1963">
        <v>100</v>
      </c>
      <c r="AS29" s="1966">
        <v>120</v>
      </c>
      <c r="AT29" s="1963">
        <v>120</v>
      </c>
      <c r="AU29" s="1963">
        <v>120</v>
      </c>
      <c r="AV29" s="1963">
        <v>120</v>
      </c>
      <c r="AW29" s="1988"/>
      <c r="AX29" s="1990"/>
      <c r="AY29" s="760"/>
      <c r="AZ29" s="1967" t="s">
        <v>1906</v>
      </c>
      <c r="BA29" s="2517">
        <v>25</v>
      </c>
      <c r="BB29" s="2517">
        <v>35</v>
      </c>
      <c r="BC29" s="2517">
        <v>45</v>
      </c>
      <c r="BD29" s="2517">
        <v>45</v>
      </c>
      <c r="BE29" s="2517">
        <v>45</v>
      </c>
      <c r="BF29"/>
      <c r="BG29" s="1967" t="s">
        <v>1906</v>
      </c>
      <c r="BH29" s="2510">
        <v>80</v>
      </c>
      <c r="BI29" s="2510">
        <v>130</v>
      </c>
      <c r="BJ29" s="2510">
        <v>150</v>
      </c>
      <c r="BK29" s="2510">
        <v>150</v>
      </c>
      <c r="BL29" s="2510">
        <v>150</v>
      </c>
      <c r="BM29" s="2507"/>
      <c r="BN29" s="2508"/>
      <c r="BO29" s="760"/>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row>
    <row r="30" spans="1:258" ht="20.25" customHeight="1">
      <c r="A30" s="760"/>
      <c r="C30" s="2037" t="s">
        <v>977</v>
      </c>
      <c r="D30" s="2038"/>
      <c r="E30" s="2035">
        <f>SUM(E5:E25)</f>
        <v>0</v>
      </c>
      <c r="F30" s="1091"/>
      <c r="G30" s="1092"/>
      <c r="H30" s="1458" t="s">
        <v>978</v>
      </c>
      <c r="I30" s="1449">
        <f>Betrieb!E14</f>
        <v>0</v>
      </c>
      <c r="J30" s="760"/>
      <c r="K30" s="760"/>
      <c r="L30" s="1093"/>
      <c r="M30" s="3023" t="str">
        <f>IF(Tabelle1!AO14=0,"Nicht im ÖPUL - keine Überprüfung von P!",IF(Mineral!H50&lt;=0,"Kein Mineral-Phosphor am Betrieb!",IF(L29&lt;=0,"Der P-Saldo ist ok!","Achtung, der P-Saldo ist zu hoch!")))</f>
        <v>Kein Mineral-Phosphor am Betrieb!</v>
      </c>
      <c r="N30" s="3023"/>
      <c r="O30" s="3023"/>
      <c r="P30" s="3023"/>
      <c r="Q30" s="3023"/>
      <c r="R30" s="3023"/>
      <c r="S30" s="1088"/>
      <c r="T30" s="1466" t="s">
        <v>979</v>
      </c>
      <c r="U30" s="1058">
        <f>U29-U28</f>
        <v>0</v>
      </c>
      <c r="V30" s="3065"/>
      <c r="W30" s="3066"/>
      <c r="X30" s="3066"/>
      <c r="Y30" s="1013"/>
      <c r="Z30" s="1013"/>
      <c r="AA30" s="1013"/>
      <c r="AB30" s="1013"/>
      <c r="AC30" s="1013"/>
      <c r="AD30" s="1013"/>
      <c r="AE30" s="1013"/>
      <c r="AF30" s="760"/>
      <c r="AG30" s="760"/>
      <c r="AH30" s="760"/>
      <c r="AI30" s="1013"/>
      <c r="AJ30" s="1013"/>
      <c r="AK30" s="760"/>
      <c r="AL30" s="1094" t="s">
        <v>980</v>
      </c>
      <c r="AM30" s="1095" t="s">
        <v>120</v>
      </c>
      <c r="AN30" s="1095" t="s">
        <v>120</v>
      </c>
      <c r="AO30" s="1967" t="s">
        <v>984</v>
      </c>
      <c r="AP30" s="1963">
        <v>95</v>
      </c>
      <c r="AQ30" s="1966">
        <v>110</v>
      </c>
      <c r="AR30" s="1963">
        <v>120</v>
      </c>
      <c r="AS30" s="1966">
        <v>110</v>
      </c>
      <c r="AT30" s="1963">
        <v>145</v>
      </c>
      <c r="AU30" s="1963">
        <v>155</v>
      </c>
      <c r="AV30" s="1963">
        <v>170</v>
      </c>
      <c r="AW30" s="1988">
        <v>53</v>
      </c>
      <c r="AX30" s="1990"/>
      <c r="AY30" s="760"/>
      <c r="AZ30" s="1967" t="s">
        <v>984</v>
      </c>
      <c r="BA30" s="2517">
        <v>55</v>
      </c>
      <c r="BB30" s="2517">
        <v>60</v>
      </c>
      <c r="BC30" s="2517">
        <v>70</v>
      </c>
      <c r="BD30" s="2517">
        <v>70</v>
      </c>
      <c r="BE30" s="2517">
        <v>70</v>
      </c>
      <c r="BF30"/>
      <c r="BG30" s="1967" t="s">
        <v>984</v>
      </c>
      <c r="BH30" s="2510">
        <v>70</v>
      </c>
      <c r="BI30" s="2510">
        <v>80</v>
      </c>
      <c r="BJ30" s="2510">
        <v>90</v>
      </c>
      <c r="BK30" s="2510">
        <v>90</v>
      </c>
      <c r="BL30" s="2510">
        <v>90</v>
      </c>
      <c r="BM30" s="2509"/>
      <c r="BN30" s="2508"/>
      <c r="BO30" s="76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ht="20.25" customHeight="1">
      <c r="A31" s="760"/>
      <c r="C31" s="2037" t="s">
        <v>981</v>
      </c>
      <c r="D31" s="2038"/>
      <c r="E31" s="2036">
        <f>SUM(E5:E18)</f>
        <v>0</v>
      </c>
      <c r="F31" s="1091"/>
      <c r="G31" s="1092"/>
      <c r="H31" s="1458" t="s">
        <v>982</v>
      </c>
      <c r="I31" s="1449">
        <f>Betrieb!E10</f>
        <v>0</v>
      </c>
      <c r="J31" s="760"/>
      <c r="K31" s="760"/>
      <c r="L31" s="760"/>
      <c r="M31" s="760"/>
      <c r="N31" s="760"/>
      <c r="O31" s="760"/>
      <c r="P31" s="760"/>
      <c r="Q31" s="760"/>
      <c r="R31" s="760"/>
      <c r="S31" s="760"/>
      <c r="T31" s="760"/>
      <c r="U31" s="760"/>
      <c r="V31" s="1782"/>
      <c r="W31" s="1782"/>
      <c r="X31" s="1782"/>
      <c r="Y31" s="1013"/>
      <c r="Z31" s="1013"/>
      <c r="AA31" s="1013"/>
      <c r="AB31" s="1013"/>
      <c r="AC31" s="1013"/>
      <c r="AD31" s="1013"/>
      <c r="AE31" s="1013"/>
      <c r="AF31" s="760"/>
      <c r="AG31" s="760"/>
      <c r="AH31" s="760"/>
      <c r="AI31" s="1013"/>
      <c r="AJ31" s="1013"/>
      <c r="AK31" s="760"/>
      <c r="AL31" s="760"/>
      <c r="AM31" s="15" t="s">
        <v>116</v>
      </c>
      <c r="AN31" s="15" t="s">
        <v>983</v>
      </c>
      <c r="AO31" s="1967" t="s">
        <v>985</v>
      </c>
      <c r="AP31" s="1963">
        <v>65</v>
      </c>
      <c r="AQ31" s="1966">
        <v>70</v>
      </c>
      <c r="AR31" s="1963">
        <v>90</v>
      </c>
      <c r="AS31" s="1966">
        <v>70</v>
      </c>
      <c r="AT31" s="1963">
        <v>105</v>
      </c>
      <c r="AU31" s="1963">
        <v>110</v>
      </c>
      <c r="AV31" s="1963">
        <v>120</v>
      </c>
      <c r="AW31" s="1988">
        <v>100</v>
      </c>
      <c r="AX31" s="1990"/>
      <c r="AY31" s="760"/>
      <c r="AZ31" s="1967" t="s">
        <v>985</v>
      </c>
      <c r="BA31" s="2517">
        <v>50</v>
      </c>
      <c r="BB31" s="2517">
        <v>55</v>
      </c>
      <c r="BC31" s="2517">
        <v>65</v>
      </c>
      <c r="BD31" s="2517">
        <v>65</v>
      </c>
      <c r="BE31" s="2517">
        <v>65</v>
      </c>
      <c r="BF31"/>
      <c r="BG31" s="1967" t="s">
        <v>985</v>
      </c>
      <c r="BH31" s="2510">
        <v>90</v>
      </c>
      <c r="BI31" s="2510">
        <v>100</v>
      </c>
      <c r="BJ31" s="2510">
        <v>115</v>
      </c>
      <c r="BK31" s="2510">
        <v>115</v>
      </c>
      <c r="BL31" s="2510">
        <v>115</v>
      </c>
      <c r="BM31" s="2509"/>
      <c r="BN31" s="2508"/>
      <c r="BO31" s="760"/>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ht="22.5" customHeight="1" thickBot="1">
      <c r="A32" s="760"/>
      <c r="C32" s="2229"/>
      <c r="D32" s="760"/>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1013"/>
      <c r="AD32" s="1013"/>
      <c r="AE32" s="760"/>
      <c r="AF32" s="760"/>
      <c r="AG32" s="760"/>
      <c r="AH32" s="760"/>
      <c r="AM32" s="15" t="s">
        <v>913</v>
      </c>
      <c r="AN32" s="1987" t="s">
        <v>1996</v>
      </c>
      <c r="AO32" s="1967" t="s">
        <v>986</v>
      </c>
      <c r="AP32" s="1963">
        <v>65</v>
      </c>
      <c r="AQ32" s="1966">
        <v>80</v>
      </c>
      <c r="AR32" s="1963">
        <v>90</v>
      </c>
      <c r="AS32" s="1966">
        <v>100</v>
      </c>
      <c r="AT32" s="1963">
        <v>105</v>
      </c>
      <c r="AU32" s="1963">
        <v>105</v>
      </c>
      <c r="AV32" s="1963">
        <v>105</v>
      </c>
      <c r="AW32" s="1988"/>
      <c r="AX32" s="1990"/>
      <c r="AY32" s="760"/>
      <c r="AZ32" s="1967" t="s">
        <v>986</v>
      </c>
      <c r="BA32" s="2517">
        <v>45</v>
      </c>
      <c r="BB32" s="2517">
        <v>50</v>
      </c>
      <c r="BC32" s="2517">
        <v>65</v>
      </c>
      <c r="BD32" s="2517">
        <v>65</v>
      </c>
      <c r="BE32" s="2517">
        <v>65</v>
      </c>
      <c r="BF32"/>
      <c r="BG32" s="1967" t="s">
        <v>986</v>
      </c>
      <c r="BH32" s="2506">
        <v>160</v>
      </c>
      <c r="BI32" s="2506">
        <v>180</v>
      </c>
      <c r="BJ32" s="2506">
        <v>205</v>
      </c>
      <c r="BK32" s="2506">
        <v>205</v>
      </c>
      <c r="BL32" s="2506">
        <v>205</v>
      </c>
      <c r="BM32" s="2509"/>
      <c r="BN32" s="2508"/>
      <c r="BO32" s="760"/>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row>
    <row r="33" spans="1:258" ht="27.75" customHeight="1" thickBot="1">
      <c r="A33" s="760"/>
      <c r="B33" s="760"/>
      <c r="C33" s="2963" t="s">
        <v>1816</v>
      </c>
      <c r="D33" s="2965"/>
      <c r="E33" s="2963" t="s">
        <v>2024</v>
      </c>
      <c r="F33" s="2964"/>
      <c r="G33" s="2964"/>
      <c r="H33" s="2964"/>
      <c r="I33" s="2964"/>
      <c r="J33" s="2964"/>
      <c r="K33" s="2964"/>
      <c r="L33" s="2964"/>
      <c r="M33" s="2964"/>
      <c r="N33" s="2965"/>
      <c r="O33" s="2966" t="s">
        <v>2025</v>
      </c>
      <c r="P33" s="2967"/>
      <c r="Q33" s="2970" t="s">
        <v>987</v>
      </c>
      <c r="R33" s="2971"/>
      <c r="S33" s="2971"/>
      <c r="T33" s="2971"/>
      <c r="U33" s="2971"/>
      <c r="V33" s="2971"/>
      <c r="W33" s="2972"/>
      <c r="X33" s="2878" t="s">
        <v>988</v>
      </c>
      <c r="Y33" s="2879"/>
      <c r="Z33" s="2879"/>
      <c r="AA33" s="2879"/>
      <c r="AB33" s="2879"/>
      <c r="AC33" s="2879"/>
      <c r="AD33" s="2880"/>
      <c r="AE33" s="1012"/>
      <c r="AF33" s="760"/>
      <c r="AG33" s="760"/>
      <c r="AH33" s="760"/>
      <c r="AM33" s="15" t="s">
        <v>914</v>
      </c>
      <c r="AN33" s="1987" t="s">
        <v>1997</v>
      </c>
      <c r="AO33" s="2527" t="s">
        <v>995</v>
      </c>
      <c r="AP33" s="2532">
        <v>40</v>
      </c>
      <c r="AQ33" s="2528">
        <v>35</v>
      </c>
      <c r="AR33" s="2532">
        <v>40</v>
      </c>
      <c r="AS33" s="2526">
        <v>35</v>
      </c>
      <c r="AT33" s="2532">
        <v>40</v>
      </c>
      <c r="AU33" s="2532">
        <v>40</v>
      </c>
      <c r="AV33" s="2532">
        <v>40</v>
      </c>
      <c r="AW33" s="2534"/>
      <c r="AX33" s="2534"/>
      <c r="AY33" s="2525"/>
      <c r="AZ33" s="2527" t="s">
        <v>995</v>
      </c>
      <c r="BA33" s="2531">
        <v>25</v>
      </c>
      <c r="BB33" s="2531">
        <v>25</v>
      </c>
      <c r="BC33" s="2531">
        <v>30</v>
      </c>
      <c r="BD33" s="2531">
        <v>30</v>
      </c>
      <c r="BE33" s="2531">
        <v>30</v>
      </c>
      <c r="BF33" s="2525"/>
      <c r="BG33" s="2527" t="s">
        <v>995</v>
      </c>
      <c r="BH33" s="2530">
        <v>70</v>
      </c>
      <c r="BI33" s="2530">
        <v>80</v>
      </c>
      <c r="BJ33" s="2530">
        <v>90</v>
      </c>
      <c r="BK33" s="2530">
        <v>90</v>
      </c>
      <c r="BL33" s="2530">
        <v>90</v>
      </c>
      <c r="BM33" s="2509"/>
      <c r="BN33" s="2508"/>
      <c r="BO33" s="760"/>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row>
    <row r="34" spans="1:258" ht="19.5" customHeight="1" thickBot="1">
      <c r="A34" s="760"/>
      <c r="B34" s="760"/>
      <c r="C34" s="3067"/>
      <c r="D34" s="3068"/>
      <c r="E34" s="2973" t="s">
        <v>2005</v>
      </c>
      <c r="F34" s="2974"/>
      <c r="G34" s="2974"/>
      <c r="H34" s="2974"/>
      <c r="I34" s="2974"/>
      <c r="J34" s="2974"/>
      <c r="K34" s="2974"/>
      <c r="L34" s="2974"/>
      <c r="M34" s="2974"/>
      <c r="N34" s="2975"/>
      <c r="O34" s="2968"/>
      <c r="P34" s="2969"/>
      <c r="Q34" s="2066" t="s">
        <v>990</v>
      </c>
      <c r="R34" s="2067" t="s">
        <v>991</v>
      </c>
      <c r="S34" s="2976" t="s">
        <v>992</v>
      </c>
      <c r="T34" s="2977"/>
      <c r="U34" s="2978"/>
      <c r="V34" s="2068" t="s">
        <v>993</v>
      </c>
      <c r="W34" s="2069" t="s">
        <v>994</v>
      </c>
      <c r="X34" s="1096" t="s">
        <v>990</v>
      </c>
      <c r="Y34" s="1097" t="s">
        <v>991</v>
      </c>
      <c r="Z34" s="2979" t="s">
        <v>992</v>
      </c>
      <c r="AA34" s="2980"/>
      <c r="AB34" s="2981"/>
      <c r="AC34" s="1098" t="s">
        <v>993</v>
      </c>
      <c r="AD34" s="1099" t="s">
        <v>994</v>
      </c>
      <c r="AE34" s="1012"/>
      <c r="AF34" s="760"/>
      <c r="AG34" s="760"/>
      <c r="AH34" s="760"/>
      <c r="AI34" s="1928" t="s">
        <v>1858</v>
      </c>
      <c r="AJ34" s="1927"/>
      <c r="AK34" s="1929"/>
      <c r="AL34" s="2491" t="s">
        <v>976</v>
      </c>
      <c r="AM34" s="15" t="s">
        <v>911</v>
      </c>
      <c r="AN34" s="760"/>
      <c r="AO34" s="2527" t="s">
        <v>989</v>
      </c>
      <c r="AP34" s="2532">
        <v>80</v>
      </c>
      <c r="AQ34" s="2528">
        <v>70</v>
      </c>
      <c r="AR34" s="2532">
        <v>80</v>
      </c>
      <c r="AS34" s="2526">
        <v>70</v>
      </c>
      <c r="AT34" s="2532">
        <v>80</v>
      </c>
      <c r="AU34" s="2532">
        <v>80</v>
      </c>
      <c r="AV34" s="2532">
        <v>80</v>
      </c>
      <c r="AW34" s="2534"/>
      <c r="AX34" s="2534"/>
      <c r="AY34" s="2525"/>
      <c r="AZ34" s="2527" t="s">
        <v>989</v>
      </c>
      <c r="BA34" s="2531">
        <v>25</v>
      </c>
      <c r="BB34" s="2531">
        <v>25</v>
      </c>
      <c r="BC34" s="2531">
        <v>30</v>
      </c>
      <c r="BD34" s="2531">
        <v>30</v>
      </c>
      <c r="BE34" s="2531">
        <v>30</v>
      </c>
      <c r="BF34" s="2525"/>
      <c r="BG34" s="2527" t="s">
        <v>989</v>
      </c>
      <c r="BH34" s="2530">
        <v>70</v>
      </c>
      <c r="BI34" s="2530">
        <v>80</v>
      </c>
      <c r="BJ34" s="2530">
        <v>90</v>
      </c>
      <c r="BK34" s="2530">
        <v>90</v>
      </c>
      <c r="BL34" s="2530">
        <v>90</v>
      </c>
      <c r="BM34" s="2504"/>
      <c r="BN34" s="2503"/>
      <c r="BO34" s="760"/>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row>
    <row r="35" spans="1:258" ht="25.5" customHeight="1" thickBot="1">
      <c r="A35" s="760"/>
      <c r="B35" s="760"/>
      <c r="C35" s="2230" t="s">
        <v>904</v>
      </c>
      <c r="D35" s="2041"/>
      <c r="E35" s="2928" t="s">
        <v>910</v>
      </c>
      <c r="F35" s="2929"/>
      <c r="G35" s="2930" t="s">
        <v>120</v>
      </c>
      <c r="H35" s="2929"/>
      <c r="I35" s="2930" t="s">
        <v>116</v>
      </c>
      <c r="J35" s="2929"/>
      <c r="K35" s="2930" t="s">
        <v>913</v>
      </c>
      <c r="L35" s="2929"/>
      <c r="M35" s="2930" t="s">
        <v>914</v>
      </c>
      <c r="N35" s="2931"/>
      <c r="O35" s="1444" t="s">
        <v>120</v>
      </c>
      <c r="P35" s="1445" t="s">
        <v>983</v>
      </c>
      <c r="Q35" s="2070"/>
      <c r="R35" s="2071"/>
      <c r="S35" s="2072" t="s">
        <v>910</v>
      </c>
      <c r="T35" s="2073" t="s">
        <v>996</v>
      </c>
      <c r="U35" s="2074" t="s">
        <v>983</v>
      </c>
      <c r="V35" s="2075"/>
      <c r="W35" s="2076"/>
      <c r="X35" s="1100"/>
      <c r="Y35" s="1101"/>
      <c r="Z35" s="1102" t="s">
        <v>910</v>
      </c>
      <c r="AA35" s="1101" t="s">
        <v>996</v>
      </c>
      <c r="AB35" s="1103" t="s">
        <v>983</v>
      </c>
      <c r="AC35" s="1098"/>
      <c r="AD35" s="1099"/>
      <c r="AE35" s="1012"/>
      <c r="AF35" s="760"/>
      <c r="AG35" s="760"/>
      <c r="AH35" s="760"/>
      <c r="AI35" s="1929" t="s">
        <v>2071</v>
      </c>
      <c r="AJ35" s="1927"/>
      <c r="AK35" s="1929"/>
      <c r="AL35" s="2491"/>
      <c r="AM35" s="1095" t="s">
        <v>912</v>
      </c>
      <c r="AN35" s="760"/>
      <c r="AO35" s="2529" t="s">
        <v>2097</v>
      </c>
      <c r="AP35" s="2533">
        <v>20</v>
      </c>
      <c r="AQ35" s="2528">
        <v>30</v>
      </c>
      <c r="AR35" s="2533">
        <v>30</v>
      </c>
      <c r="AS35" s="2526">
        <v>30</v>
      </c>
      <c r="AT35" s="2533">
        <v>30</v>
      </c>
      <c r="AU35" s="2533">
        <v>30</v>
      </c>
      <c r="AV35" s="2533">
        <v>30</v>
      </c>
      <c r="AW35" s="2534"/>
      <c r="AX35" s="2534"/>
      <c r="AY35" s="2525"/>
      <c r="AZ35" s="2529" t="s">
        <v>2097</v>
      </c>
      <c r="BA35" s="2531">
        <v>15</v>
      </c>
      <c r="BB35" s="2531">
        <v>30</v>
      </c>
      <c r="BC35" s="2531">
        <v>30</v>
      </c>
      <c r="BD35" s="2531">
        <v>30</v>
      </c>
      <c r="BE35" s="2531">
        <v>30</v>
      </c>
      <c r="BF35" s="2525"/>
      <c r="BG35" s="2529" t="s">
        <v>2097</v>
      </c>
      <c r="BH35" s="2535">
        <v>45</v>
      </c>
      <c r="BI35" s="2530">
        <v>80</v>
      </c>
      <c r="BJ35" s="2530">
        <v>80</v>
      </c>
      <c r="BK35" s="2530">
        <v>80</v>
      </c>
      <c r="BL35" s="2530">
        <v>80</v>
      </c>
      <c r="BM35" s="2504"/>
      <c r="BN35" s="2503"/>
      <c r="BO35" s="760"/>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row>
    <row r="36" spans="1:258" ht="25.5" customHeight="1" thickBot="1">
      <c r="A36" s="760"/>
      <c r="B36" s="760"/>
      <c r="C36" s="2748" t="s">
        <v>997</v>
      </c>
      <c r="D36" s="2749"/>
      <c r="E36" s="2750" t="s">
        <v>998</v>
      </c>
      <c r="F36" s="2751" t="s">
        <v>999</v>
      </c>
      <c r="G36" s="2751" t="s">
        <v>998</v>
      </c>
      <c r="H36" s="2751" t="s">
        <v>999</v>
      </c>
      <c r="I36" s="2751" t="s">
        <v>998</v>
      </c>
      <c r="J36" s="2751" t="s">
        <v>999</v>
      </c>
      <c r="K36" s="2751" t="s">
        <v>998</v>
      </c>
      <c r="L36" s="2751" t="s">
        <v>999</v>
      </c>
      <c r="M36" s="2752" t="s">
        <v>998</v>
      </c>
      <c r="N36" s="2751" t="s">
        <v>999</v>
      </c>
      <c r="O36" s="3039" t="s">
        <v>999</v>
      </c>
      <c r="P36" s="3040"/>
      <c r="Q36" s="3045" t="s">
        <v>1000</v>
      </c>
      <c r="R36" s="3046"/>
      <c r="S36" s="3048" t="s">
        <v>1000</v>
      </c>
      <c r="T36" s="3049"/>
      <c r="U36" s="3050"/>
      <c r="V36" s="2753"/>
      <c r="W36" s="2754"/>
      <c r="X36" s="3011" t="s">
        <v>1001</v>
      </c>
      <c r="Y36" s="3012"/>
      <c r="Z36" s="3011" t="s">
        <v>1001</v>
      </c>
      <c r="AA36" s="3013"/>
      <c r="AB36" s="3012"/>
      <c r="AC36" s="2189"/>
      <c r="AD36" s="1107"/>
      <c r="AE36" s="1012"/>
      <c r="AF36" s="760"/>
      <c r="AG36" s="760"/>
      <c r="AH36" s="760"/>
      <c r="AI36" s="1928" t="s">
        <v>1861</v>
      </c>
      <c r="AJ36" s="1927"/>
      <c r="AK36" s="1929"/>
      <c r="AL36" s="2491" t="s">
        <v>976</v>
      </c>
      <c r="AM36" s="1962"/>
      <c r="AN36" s="760"/>
      <c r="AO36" s="2529" t="s">
        <v>2098</v>
      </c>
      <c r="AP36" s="2533">
        <v>60</v>
      </c>
      <c r="AQ36" s="2528">
        <v>90</v>
      </c>
      <c r="AR36" s="2533">
        <v>90</v>
      </c>
      <c r="AS36" s="2526">
        <v>90</v>
      </c>
      <c r="AT36" s="2533">
        <v>90</v>
      </c>
      <c r="AU36" s="2533">
        <v>90</v>
      </c>
      <c r="AV36" s="2533">
        <v>90</v>
      </c>
      <c r="AW36" s="2534"/>
      <c r="AX36" s="2534"/>
      <c r="AY36" s="2525"/>
      <c r="AZ36" s="2529" t="s">
        <v>2098</v>
      </c>
      <c r="BA36" s="2531">
        <v>30</v>
      </c>
      <c r="BB36" s="2531">
        <v>45</v>
      </c>
      <c r="BC36" s="2531">
        <v>45</v>
      </c>
      <c r="BD36" s="2531">
        <v>45</v>
      </c>
      <c r="BE36" s="2531">
        <v>45</v>
      </c>
      <c r="BF36" s="2525"/>
      <c r="BG36" s="2529" t="s">
        <v>2098</v>
      </c>
      <c r="BH36" s="2535">
        <v>80</v>
      </c>
      <c r="BI36" s="2530">
        <v>120</v>
      </c>
      <c r="BJ36" s="2530">
        <v>120</v>
      </c>
      <c r="BK36" s="2530">
        <v>120</v>
      </c>
      <c r="BL36" s="2530">
        <v>120</v>
      </c>
      <c r="BM36" s="2504"/>
      <c r="BN36" s="2503"/>
      <c r="BO36" s="760"/>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row>
    <row r="37" spans="1:258" ht="25.5" customHeight="1">
      <c r="A37" s="760"/>
      <c r="B37" s="760"/>
      <c r="C37" s="2755" t="s">
        <v>1986</v>
      </c>
      <c r="D37" s="2756"/>
      <c r="E37" s="2757" t="s">
        <v>1868</v>
      </c>
      <c r="F37" s="2758">
        <v>105</v>
      </c>
      <c r="G37" s="2759" t="s">
        <v>1011</v>
      </c>
      <c r="H37" s="2758">
        <v>145</v>
      </c>
      <c r="I37" s="2759" t="s">
        <v>1004</v>
      </c>
      <c r="J37" s="2758">
        <v>170</v>
      </c>
      <c r="K37" s="2759" t="s">
        <v>1005</v>
      </c>
      <c r="L37" s="2760">
        <v>180</v>
      </c>
      <c r="M37" s="2759" t="s">
        <v>1006</v>
      </c>
      <c r="N37" s="2761">
        <v>195</v>
      </c>
      <c r="O37" s="2762">
        <v>130</v>
      </c>
      <c r="P37" s="2763">
        <v>150</v>
      </c>
      <c r="Q37" s="2764">
        <v>85</v>
      </c>
      <c r="R37" s="2764">
        <v>70</v>
      </c>
      <c r="S37" s="2765">
        <v>50</v>
      </c>
      <c r="T37" s="2765">
        <v>55</v>
      </c>
      <c r="U37" s="2765">
        <v>65</v>
      </c>
      <c r="V37" s="2766" t="s">
        <v>1007</v>
      </c>
      <c r="W37" s="2767" t="s">
        <v>1008</v>
      </c>
      <c r="X37" s="2768">
        <v>120</v>
      </c>
      <c r="Y37" s="2768">
        <v>70</v>
      </c>
      <c r="Z37" s="2769">
        <v>70</v>
      </c>
      <c r="AA37" s="2769">
        <v>80</v>
      </c>
      <c r="AB37" s="2769">
        <v>90</v>
      </c>
      <c r="AC37" s="2770" t="s">
        <v>1869</v>
      </c>
      <c r="AD37" s="2771" t="s">
        <v>1008</v>
      </c>
      <c r="AE37" s="1012"/>
      <c r="AF37" s="760"/>
      <c r="AG37" s="760"/>
      <c r="AH37" s="760"/>
      <c r="AI37" s="1960" t="s">
        <v>1862</v>
      </c>
      <c r="AJ37" s="1927"/>
      <c r="AK37" s="1929"/>
      <c r="AL37" s="2491" t="s">
        <v>976</v>
      </c>
      <c r="AM37" s="1962"/>
      <c r="AN37" s="760"/>
      <c r="AO37" s="2529" t="s">
        <v>2099</v>
      </c>
      <c r="AP37" s="2533">
        <v>105</v>
      </c>
      <c r="AQ37" s="2528">
        <v>120</v>
      </c>
      <c r="AR37" s="2533">
        <v>120</v>
      </c>
      <c r="AS37" s="2526">
        <v>140</v>
      </c>
      <c r="AT37" s="2533">
        <v>150</v>
      </c>
      <c r="AU37" s="2533">
        <v>150</v>
      </c>
      <c r="AV37" s="2533">
        <v>150</v>
      </c>
      <c r="AW37" s="2534"/>
      <c r="AX37" s="2534"/>
      <c r="AY37" s="2525"/>
      <c r="AZ37" s="2529" t="s">
        <v>2099</v>
      </c>
      <c r="BA37" s="2531">
        <v>45</v>
      </c>
      <c r="BB37" s="2531">
        <v>65</v>
      </c>
      <c r="BC37" s="2531">
        <v>80</v>
      </c>
      <c r="BD37" s="2531">
        <v>80</v>
      </c>
      <c r="BE37" s="2531">
        <v>80</v>
      </c>
      <c r="BF37" s="2525"/>
      <c r="BG37" s="2529" t="s">
        <v>2099</v>
      </c>
      <c r="BH37" s="2535">
        <v>130</v>
      </c>
      <c r="BI37" s="2530">
        <v>170</v>
      </c>
      <c r="BJ37" s="2530">
        <v>215</v>
      </c>
      <c r="BK37" s="2530">
        <v>215</v>
      </c>
      <c r="BL37" s="2530">
        <v>215</v>
      </c>
      <c r="BM37" s="2504"/>
      <c r="BN37" s="2503"/>
      <c r="BO37" s="760"/>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row>
    <row r="38" spans="1:258" ht="25.5" customHeight="1">
      <c r="A38" s="760"/>
      <c r="B38" s="760"/>
      <c r="C38" s="2772" t="s">
        <v>1987</v>
      </c>
      <c r="D38" s="2773"/>
      <c r="E38" s="2774" t="s">
        <v>1114</v>
      </c>
      <c r="F38" s="2775">
        <v>105</v>
      </c>
      <c r="G38" s="2776" t="s">
        <v>1870</v>
      </c>
      <c r="H38" s="2775">
        <v>145</v>
      </c>
      <c r="I38" s="2776" t="s">
        <v>1871</v>
      </c>
      <c r="J38" s="2775">
        <v>170</v>
      </c>
      <c r="K38" s="2776" t="s">
        <v>1872</v>
      </c>
      <c r="L38" s="2777">
        <v>180</v>
      </c>
      <c r="M38" s="2776" t="s">
        <v>1122</v>
      </c>
      <c r="N38" s="2778">
        <v>195</v>
      </c>
      <c r="O38" s="2697">
        <v>130</v>
      </c>
      <c r="P38" s="2698">
        <v>150</v>
      </c>
      <c r="Q38" s="2779">
        <v>85</v>
      </c>
      <c r="R38" s="2779">
        <v>70</v>
      </c>
      <c r="S38" s="2780">
        <v>50</v>
      </c>
      <c r="T38" s="2780">
        <v>55</v>
      </c>
      <c r="U38" s="2780">
        <v>65</v>
      </c>
      <c r="V38" s="2781" t="s">
        <v>1007</v>
      </c>
      <c r="W38" s="2538" t="s">
        <v>1008</v>
      </c>
      <c r="X38" s="2782">
        <v>120</v>
      </c>
      <c r="Y38" s="2782">
        <v>70</v>
      </c>
      <c r="Z38" s="2783">
        <v>70</v>
      </c>
      <c r="AA38" s="2783">
        <v>80</v>
      </c>
      <c r="AB38" s="2783">
        <v>90</v>
      </c>
      <c r="AC38" s="2784" t="s">
        <v>1869</v>
      </c>
      <c r="AD38" s="2696" t="s">
        <v>1008</v>
      </c>
      <c r="AE38" s="1012"/>
      <c r="AF38" s="760"/>
      <c r="AG38" s="760"/>
      <c r="AH38" s="760"/>
      <c r="AI38" s="1928" t="s">
        <v>1864</v>
      </c>
      <c r="AJ38" s="1927"/>
      <c r="AK38" s="1929"/>
      <c r="AL38" s="2491" t="s">
        <v>2070</v>
      </c>
      <c r="AM38" s="1962"/>
      <c r="AN38" s="760"/>
      <c r="AO38" s="2529" t="s">
        <v>2100</v>
      </c>
      <c r="AP38" s="2533">
        <v>160</v>
      </c>
      <c r="AQ38" s="2528">
        <v>160</v>
      </c>
      <c r="AR38" s="2533">
        <v>160</v>
      </c>
      <c r="AS38" s="2526">
        <v>190</v>
      </c>
      <c r="AT38" s="2533">
        <v>200</v>
      </c>
      <c r="AU38" s="2533">
        <v>200</v>
      </c>
      <c r="AV38" s="2533">
        <v>200</v>
      </c>
      <c r="AW38" s="2534"/>
      <c r="AX38" s="2534"/>
      <c r="AY38" s="2525"/>
      <c r="AZ38" s="2529" t="s">
        <v>2100</v>
      </c>
      <c r="BA38" s="2531">
        <v>80</v>
      </c>
      <c r="BB38" s="2531">
        <v>80</v>
      </c>
      <c r="BC38" s="2531">
        <v>90</v>
      </c>
      <c r="BD38" s="2531">
        <v>90</v>
      </c>
      <c r="BE38" s="2531">
        <v>90</v>
      </c>
      <c r="BF38" s="2525"/>
      <c r="BG38" s="2529" t="s">
        <v>2100</v>
      </c>
      <c r="BH38" s="2530">
        <v>205</v>
      </c>
      <c r="BI38" s="2530">
        <v>205</v>
      </c>
      <c r="BJ38" s="2530">
        <v>260</v>
      </c>
      <c r="BK38" s="2530">
        <v>260</v>
      </c>
      <c r="BL38" s="2530">
        <v>260</v>
      </c>
      <c r="BM38" s="2504"/>
      <c r="BN38" s="2503"/>
      <c r="BO38" s="760"/>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row>
    <row r="39" spans="1:258" ht="25.5" customHeight="1">
      <c r="A39" s="760"/>
      <c r="B39" s="760"/>
      <c r="C39" s="2772" t="s">
        <v>2103</v>
      </c>
      <c r="D39" s="2773"/>
      <c r="E39" s="2747" t="s">
        <v>1873</v>
      </c>
      <c r="F39" s="2775">
        <v>105</v>
      </c>
      <c r="G39" s="2776" t="s">
        <v>1017</v>
      </c>
      <c r="H39" s="2775">
        <v>145</v>
      </c>
      <c r="I39" s="2776" t="s">
        <v>1874</v>
      </c>
      <c r="J39" s="2775">
        <v>170</v>
      </c>
      <c r="K39" s="2776" t="s">
        <v>1875</v>
      </c>
      <c r="L39" s="2777">
        <v>180</v>
      </c>
      <c r="M39" s="2776" t="s">
        <v>1012</v>
      </c>
      <c r="N39" s="2778">
        <v>195</v>
      </c>
      <c r="O39" s="2697">
        <v>130</v>
      </c>
      <c r="P39" s="2698">
        <v>150</v>
      </c>
      <c r="Q39" s="2779">
        <v>85</v>
      </c>
      <c r="R39" s="2779">
        <v>70</v>
      </c>
      <c r="S39" s="2780">
        <v>50</v>
      </c>
      <c r="T39" s="2780">
        <v>55</v>
      </c>
      <c r="U39" s="2780">
        <v>65</v>
      </c>
      <c r="V39" s="2781" t="s">
        <v>1007</v>
      </c>
      <c r="W39" s="2538" t="s">
        <v>1008</v>
      </c>
      <c r="X39" s="2782">
        <v>120</v>
      </c>
      <c r="Y39" s="2782">
        <v>100</v>
      </c>
      <c r="Z39" s="2783">
        <v>70</v>
      </c>
      <c r="AA39" s="2783">
        <v>80</v>
      </c>
      <c r="AB39" s="2783">
        <v>90</v>
      </c>
      <c r="AC39" s="2784" t="s">
        <v>1869</v>
      </c>
      <c r="AD39" s="2696" t="s">
        <v>1008</v>
      </c>
      <c r="AE39" s="1012"/>
      <c r="AF39" s="760"/>
      <c r="AG39" s="760"/>
      <c r="AH39" s="760"/>
      <c r="AI39" s="1960" t="s">
        <v>1865</v>
      </c>
      <c r="AJ39" s="1927"/>
      <c r="AK39" s="1929"/>
      <c r="AL39" s="2491" t="s">
        <v>976</v>
      </c>
      <c r="AM39" s="1962"/>
      <c r="AN39" s="760"/>
      <c r="AO39" s="2529" t="s">
        <v>2101</v>
      </c>
      <c r="AP39" s="2533">
        <v>210</v>
      </c>
      <c r="AQ39" s="2528">
        <v>210</v>
      </c>
      <c r="AR39" s="2533">
        <v>200</v>
      </c>
      <c r="AS39" s="2526">
        <v>210</v>
      </c>
      <c r="AT39" s="2533">
        <v>250</v>
      </c>
      <c r="AU39" s="2533">
        <v>250</v>
      </c>
      <c r="AV39" s="2533">
        <v>250</v>
      </c>
      <c r="AW39" s="2534"/>
      <c r="AX39" s="2534"/>
      <c r="AY39" s="2525"/>
      <c r="AZ39" s="2529" t="s">
        <v>2101</v>
      </c>
      <c r="BA39" s="2531">
        <v>85</v>
      </c>
      <c r="BB39" s="2531">
        <v>85</v>
      </c>
      <c r="BC39" s="2531">
        <v>125</v>
      </c>
      <c r="BD39" s="2531">
        <v>125</v>
      </c>
      <c r="BE39" s="2531">
        <v>125</v>
      </c>
      <c r="BF39" s="2525"/>
      <c r="BG39" s="2529" t="s">
        <v>2101</v>
      </c>
      <c r="BH39" s="2530">
        <v>230</v>
      </c>
      <c r="BI39" s="2530">
        <v>230</v>
      </c>
      <c r="BJ39" s="2530">
        <v>365</v>
      </c>
      <c r="BK39" s="2530">
        <v>365</v>
      </c>
      <c r="BL39" s="2530">
        <v>365</v>
      </c>
      <c r="BM39" s="2504"/>
      <c r="BN39" s="2503"/>
      <c r="BO39" s="760"/>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row>
    <row r="40" spans="1:258" ht="25.5" customHeight="1">
      <c r="A40" s="760"/>
      <c r="B40" s="760"/>
      <c r="C40" s="2699" t="s">
        <v>1876</v>
      </c>
      <c r="D40" s="2785"/>
      <c r="E40" s="2747" t="s">
        <v>1002</v>
      </c>
      <c r="F40" s="2775">
        <v>80</v>
      </c>
      <c r="G40" s="2776" t="s">
        <v>1013</v>
      </c>
      <c r="H40" s="2775">
        <v>110</v>
      </c>
      <c r="I40" s="2776" t="s">
        <v>1877</v>
      </c>
      <c r="J40" s="2775">
        <v>130</v>
      </c>
      <c r="K40" s="2776" t="s">
        <v>1878</v>
      </c>
      <c r="L40" s="2777">
        <v>140</v>
      </c>
      <c r="M40" s="2776" t="s">
        <v>1012</v>
      </c>
      <c r="N40" s="2778">
        <v>150</v>
      </c>
      <c r="O40" s="2697">
        <v>80</v>
      </c>
      <c r="P40" s="2698">
        <v>90</v>
      </c>
      <c r="Q40" s="2779">
        <v>85</v>
      </c>
      <c r="R40" s="2779">
        <v>70</v>
      </c>
      <c r="S40" s="2780">
        <v>50</v>
      </c>
      <c r="T40" s="2780">
        <v>55</v>
      </c>
      <c r="U40" s="2780">
        <v>65</v>
      </c>
      <c r="V40" s="2781" t="s">
        <v>1007</v>
      </c>
      <c r="W40" s="2538" t="s">
        <v>1008</v>
      </c>
      <c r="X40" s="2782">
        <v>120</v>
      </c>
      <c r="Y40" s="2782">
        <v>100</v>
      </c>
      <c r="Z40" s="2783">
        <v>70</v>
      </c>
      <c r="AA40" s="2783">
        <v>80</v>
      </c>
      <c r="AB40" s="2783">
        <v>90</v>
      </c>
      <c r="AC40" s="2784" t="s">
        <v>1869</v>
      </c>
      <c r="AD40" s="2696" t="s">
        <v>1008</v>
      </c>
      <c r="AE40" s="1012"/>
      <c r="AF40" s="760"/>
      <c r="AG40" s="760"/>
      <c r="AH40" s="760"/>
      <c r="AI40" s="1960" t="s">
        <v>1976</v>
      </c>
      <c r="AJ40" s="1927"/>
      <c r="AK40" s="1929"/>
      <c r="AL40" s="2491" t="s">
        <v>976</v>
      </c>
      <c r="AM40" s="1962"/>
      <c r="AN40" s="760"/>
      <c r="AO40" s="2529" t="s">
        <v>2102</v>
      </c>
      <c r="AP40" s="2533">
        <v>210</v>
      </c>
      <c r="AQ40" s="2528">
        <v>210</v>
      </c>
      <c r="AR40" s="2533">
        <v>210</v>
      </c>
      <c r="AS40" s="2526">
        <v>210</v>
      </c>
      <c r="AT40" s="2533">
        <v>280</v>
      </c>
      <c r="AU40" s="2533">
        <v>280</v>
      </c>
      <c r="AV40" s="2533">
        <v>280</v>
      </c>
      <c r="AW40" s="2534"/>
      <c r="AX40" s="2534"/>
      <c r="AY40" s="2525"/>
      <c r="AZ40" s="2529" t="s">
        <v>2102</v>
      </c>
      <c r="BA40" s="2531">
        <v>135</v>
      </c>
      <c r="BB40" s="2531">
        <v>135</v>
      </c>
      <c r="BC40" s="2531">
        <v>135</v>
      </c>
      <c r="BD40" s="2531">
        <v>135</v>
      </c>
      <c r="BE40" s="2531">
        <v>135</v>
      </c>
      <c r="BF40" s="2525"/>
      <c r="BG40" s="2529" t="s">
        <v>2102</v>
      </c>
      <c r="BH40" s="2530">
        <v>390</v>
      </c>
      <c r="BI40" s="2530">
        <v>390</v>
      </c>
      <c r="BJ40" s="2530">
        <v>390</v>
      </c>
      <c r="BK40" s="2530">
        <v>390</v>
      </c>
      <c r="BL40" s="2530">
        <v>390</v>
      </c>
      <c r="BM40" s="2504"/>
      <c r="BN40" s="2503"/>
      <c r="BO40" s="76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row>
    <row r="41" spans="1:258" ht="25.5" customHeight="1">
      <c r="A41" s="760"/>
      <c r="B41" s="760"/>
      <c r="C41" s="2772" t="s">
        <v>933</v>
      </c>
      <c r="D41" s="2773"/>
      <c r="E41" s="2747" t="s">
        <v>1868</v>
      </c>
      <c r="F41" s="2775">
        <v>95</v>
      </c>
      <c r="G41" s="2776" t="s">
        <v>1011</v>
      </c>
      <c r="H41" s="2775">
        <v>130</v>
      </c>
      <c r="I41" s="2776" t="s">
        <v>1004</v>
      </c>
      <c r="J41" s="2775">
        <v>155</v>
      </c>
      <c r="K41" s="2776" t="s">
        <v>1005</v>
      </c>
      <c r="L41" s="2777">
        <v>170</v>
      </c>
      <c r="M41" s="2776" t="s">
        <v>1006</v>
      </c>
      <c r="N41" s="2778">
        <v>180</v>
      </c>
      <c r="O41" s="2697">
        <v>120</v>
      </c>
      <c r="P41" s="2698">
        <v>135</v>
      </c>
      <c r="Q41" s="2779">
        <v>85</v>
      </c>
      <c r="R41" s="2779">
        <v>70</v>
      </c>
      <c r="S41" s="2780">
        <v>50</v>
      </c>
      <c r="T41" s="2780">
        <v>55</v>
      </c>
      <c r="U41" s="2780">
        <v>65</v>
      </c>
      <c r="V41" s="2781" t="s">
        <v>1007</v>
      </c>
      <c r="W41" s="2538" t="s">
        <v>1008</v>
      </c>
      <c r="X41" s="2782">
        <v>120</v>
      </c>
      <c r="Y41" s="2782">
        <v>100</v>
      </c>
      <c r="Z41" s="2783">
        <v>70</v>
      </c>
      <c r="AA41" s="2783">
        <v>80</v>
      </c>
      <c r="AB41" s="2783">
        <v>90</v>
      </c>
      <c r="AC41" s="2784" t="s">
        <v>1869</v>
      </c>
      <c r="AD41" s="2696" t="s">
        <v>1008</v>
      </c>
      <c r="AE41" s="1012"/>
      <c r="AF41" s="760"/>
      <c r="AG41" s="760"/>
      <c r="AH41" s="760"/>
      <c r="AI41" s="1960" t="s">
        <v>1977</v>
      </c>
      <c r="AJ41" s="1927"/>
      <c r="AK41" s="1929"/>
      <c r="AL41" s="2491" t="s">
        <v>976</v>
      </c>
      <c r="AM41" s="1962"/>
      <c r="AN41" s="760"/>
      <c r="AO41" s="2536" t="s">
        <v>2080</v>
      </c>
      <c r="AP41" s="2533">
        <v>20</v>
      </c>
      <c r="AQ41" s="2528">
        <v>30</v>
      </c>
      <c r="AR41" s="2533">
        <v>30</v>
      </c>
      <c r="AS41" s="2526">
        <v>30</v>
      </c>
      <c r="AT41" s="2533">
        <v>30</v>
      </c>
      <c r="AU41" s="2533">
        <v>30</v>
      </c>
      <c r="AV41" s="2533">
        <v>30</v>
      </c>
      <c r="AW41" s="2534"/>
      <c r="AX41" s="2534"/>
      <c r="AY41" s="2525"/>
      <c r="AZ41" s="2536" t="s">
        <v>2080</v>
      </c>
      <c r="BA41" s="2531">
        <v>15</v>
      </c>
      <c r="BB41" s="2531">
        <v>30</v>
      </c>
      <c r="BC41" s="2531">
        <v>30</v>
      </c>
      <c r="BD41" s="2531">
        <v>30</v>
      </c>
      <c r="BE41" s="2531">
        <v>30</v>
      </c>
      <c r="BF41" s="2525"/>
      <c r="BG41" s="2536" t="s">
        <v>2080</v>
      </c>
      <c r="BH41" s="2535">
        <v>45</v>
      </c>
      <c r="BI41" s="2530">
        <v>80</v>
      </c>
      <c r="BJ41" s="2530">
        <v>80</v>
      </c>
      <c r="BK41" s="2530">
        <v>80</v>
      </c>
      <c r="BL41" s="2530">
        <v>80</v>
      </c>
      <c r="BM41" s="2504"/>
      <c r="BN41" s="2503"/>
      <c r="BO41" s="760"/>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row>
    <row r="42" spans="1:258" ht="25.5" customHeight="1">
      <c r="A42" s="760"/>
      <c r="B42" s="760"/>
      <c r="C42" s="2772" t="s">
        <v>2127</v>
      </c>
      <c r="D42" s="2773"/>
      <c r="E42" s="2747" t="s">
        <v>1868</v>
      </c>
      <c r="F42" s="2775">
        <v>90</v>
      </c>
      <c r="G42" s="2776" t="s">
        <v>1011</v>
      </c>
      <c r="H42" s="2775">
        <v>120</v>
      </c>
      <c r="I42" s="2776" t="s">
        <v>1004</v>
      </c>
      <c r="J42" s="2775">
        <v>145</v>
      </c>
      <c r="K42" s="2776" t="s">
        <v>1005</v>
      </c>
      <c r="L42" s="2777">
        <v>155</v>
      </c>
      <c r="M42" s="2776" t="s">
        <v>1006</v>
      </c>
      <c r="N42" s="2778">
        <v>165</v>
      </c>
      <c r="O42" s="2697">
        <v>110</v>
      </c>
      <c r="P42" s="2698">
        <v>120</v>
      </c>
      <c r="Q42" s="2779">
        <v>85</v>
      </c>
      <c r="R42" s="2779">
        <v>70</v>
      </c>
      <c r="S42" s="2780">
        <v>50</v>
      </c>
      <c r="T42" s="2780">
        <v>55</v>
      </c>
      <c r="U42" s="2780">
        <v>65</v>
      </c>
      <c r="V42" s="2781" t="s">
        <v>1007</v>
      </c>
      <c r="W42" s="2538" t="s">
        <v>1008</v>
      </c>
      <c r="X42" s="2782">
        <v>120</v>
      </c>
      <c r="Y42" s="2782">
        <v>100</v>
      </c>
      <c r="Z42" s="2783">
        <v>70</v>
      </c>
      <c r="AA42" s="2783">
        <v>80</v>
      </c>
      <c r="AB42" s="2783">
        <v>90</v>
      </c>
      <c r="AC42" s="2784" t="s">
        <v>1869</v>
      </c>
      <c r="AD42" s="2696" t="s">
        <v>1008</v>
      </c>
      <c r="AE42" s="1012"/>
      <c r="AF42" s="760"/>
      <c r="AG42" s="760"/>
      <c r="AH42" s="760"/>
      <c r="AI42" s="1012"/>
      <c r="AJ42" s="1013"/>
      <c r="AK42" s="760"/>
      <c r="AL42" s="760"/>
      <c r="AM42" s="1962"/>
      <c r="AN42" s="760"/>
      <c r="AO42" s="2536" t="s">
        <v>2081</v>
      </c>
      <c r="AP42" s="2533">
        <v>60</v>
      </c>
      <c r="AQ42" s="2528">
        <v>90</v>
      </c>
      <c r="AR42" s="2533">
        <v>90</v>
      </c>
      <c r="AS42" s="2526">
        <v>90</v>
      </c>
      <c r="AT42" s="2533">
        <v>90</v>
      </c>
      <c r="AU42" s="2533">
        <v>90</v>
      </c>
      <c r="AV42" s="2533">
        <v>90</v>
      </c>
      <c r="AW42" s="2534"/>
      <c r="AX42" s="2534"/>
      <c r="AY42" s="2525"/>
      <c r="AZ42" s="2536" t="s">
        <v>2081</v>
      </c>
      <c r="BA42" s="2531">
        <v>30</v>
      </c>
      <c r="BB42" s="2531">
        <v>45</v>
      </c>
      <c r="BC42" s="2531">
        <v>45</v>
      </c>
      <c r="BD42" s="2531">
        <v>45</v>
      </c>
      <c r="BE42" s="2531">
        <v>45</v>
      </c>
      <c r="BF42" s="2525"/>
      <c r="BG42" s="2536" t="s">
        <v>2081</v>
      </c>
      <c r="BH42" s="2535">
        <v>80</v>
      </c>
      <c r="BI42" s="2530">
        <v>120</v>
      </c>
      <c r="BJ42" s="2530">
        <v>120</v>
      </c>
      <c r="BK42" s="2530">
        <v>120</v>
      </c>
      <c r="BL42" s="2530">
        <v>120</v>
      </c>
      <c r="BM42" s="2504"/>
      <c r="BN42" s="2503"/>
      <c r="BO42" s="760"/>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row>
    <row r="43" spans="1:258" ht="25.5" customHeight="1">
      <c r="A43" s="760"/>
      <c r="B43" s="760"/>
      <c r="C43" s="2772" t="s">
        <v>2104</v>
      </c>
      <c r="D43" s="2773"/>
      <c r="E43" s="2747" t="s">
        <v>1002</v>
      </c>
      <c r="F43" s="2775">
        <v>80</v>
      </c>
      <c r="G43" s="2776" t="s">
        <v>1013</v>
      </c>
      <c r="H43" s="2775">
        <v>110</v>
      </c>
      <c r="I43" s="2776" t="s">
        <v>1014</v>
      </c>
      <c r="J43" s="2775">
        <v>130</v>
      </c>
      <c r="K43" s="2776" t="s">
        <v>1015</v>
      </c>
      <c r="L43" s="2777">
        <v>140</v>
      </c>
      <c r="M43" s="2776" t="s">
        <v>1016</v>
      </c>
      <c r="N43" s="2778">
        <v>150</v>
      </c>
      <c r="O43" s="2697">
        <v>100</v>
      </c>
      <c r="P43" s="2698">
        <v>110</v>
      </c>
      <c r="Q43" s="2779">
        <v>85</v>
      </c>
      <c r="R43" s="2779">
        <v>70</v>
      </c>
      <c r="S43" s="2780">
        <v>50</v>
      </c>
      <c r="T43" s="2780">
        <v>55</v>
      </c>
      <c r="U43" s="2780">
        <v>65</v>
      </c>
      <c r="V43" s="2781" t="s">
        <v>1007</v>
      </c>
      <c r="W43" s="2538" t="s">
        <v>1008</v>
      </c>
      <c r="X43" s="2782">
        <v>120</v>
      </c>
      <c r="Y43" s="2782">
        <v>100</v>
      </c>
      <c r="Z43" s="2783">
        <v>70</v>
      </c>
      <c r="AA43" s="2783">
        <v>80</v>
      </c>
      <c r="AB43" s="2783">
        <v>90</v>
      </c>
      <c r="AC43" s="2784" t="s">
        <v>1869</v>
      </c>
      <c r="AD43" s="2696" t="s">
        <v>1008</v>
      </c>
      <c r="AE43" s="1012"/>
      <c r="AF43" s="760"/>
      <c r="AG43" s="760"/>
      <c r="AH43" s="760"/>
      <c r="AI43" s="1012"/>
      <c r="AJ43" s="1013"/>
      <c r="AK43" s="760"/>
      <c r="AL43" s="760"/>
      <c r="AM43" s="1962"/>
      <c r="AN43" s="760"/>
      <c r="AO43" s="2536" t="s">
        <v>2082</v>
      </c>
      <c r="AP43" s="2533">
        <v>105</v>
      </c>
      <c r="AQ43" s="2528">
        <v>120</v>
      </c>
      <c r="AR43" s="2533">
        <v>120</v>
      </c>
      <c r="AS43" s="2526">
        <v>140</v>
      </c>
      <c r="AT43" s="2533">
        <v>150</v>
      </c>
      <c r="AU43" s="2533">
        <v>150</v>
      </c>
      <c r="AV43" s="2533">
        <v>150</v>
      </c>
      <c r="AW43" s="2534"/>
      <c r="AX43" s="2534"/>
      <c r="AY43" s="2525"/>
      <c r="AZ43" s="2536" t="s">
        <v>2082</v>
      </c>
      <c r="BA43" s="2531">
        <v>45</v>
      </c>
      <c r="BB43" s="2531">
        <v>65</v>
      </c>
      <c r="BC43" s="2531">
        <v>80</v>
      </c>
      <c r="BD43" s="2531">
        <v>80</v>
      </c>
      <c r="BE43" s="2531">
        <v>80</v>
      </c>
      <c r="BF43" s="2525"/>
      <c r="BG43" s="2536" t="s">
        <v>2082</v>
      </c>
      <c r="BH43" s="2535">
        <v>130</v>
      </c>
      <c r="BI43" s="2530">
        <v>170</v>
      </c>
      <c r="BJ43" s="2530">
        <v>215</v>
      </c>
      <c r="BK43" s="2530">
        <v>215</v>
      </c>
      <c r="BL43" s="2530">
        <v>215</v>
      </c>
      <c r="BM43" s="2504"/>
      <c r="BN43" s="2503"/>
      <c r="BO43" s="760"/>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row>
    <row r="44" spans="1:258" ht="25.5" customHeight="1">
      <c r="A44" s="760"/>
      <c r="B44" s="760"/>
      <c r="C44" s="2772" t="s">
        <v>943</v>
      </c>
      <c r="D44" s="2773"/>
      <c r="E44" s="2747" t="s">
        <v>1002</v>
      </c>
      <c r="F44" s="2775">
        <v>80</v>
      </c>
      <c r="G44" s="2776" t="s">
        <v>1013</v>
      </c>
      <c r="H44" s="2775">
        <v>110</v>
      </c>
      <c r="I44" s="2776" t="s">
        <v>1014</v>
      </c>
      <c r="J44" s="2775">
        <v>130</v>
      </c>
      <c r="K44" s="2776" t="s">
        <v>1015</v>
      </c>
      <c r="L44" s="2777">
        <v>140</v>
      </c>
      <c r="M44" s="2776" t="s">
        <v>1016</v>
      </c>
      <c r="N44" s="2778">
        <v>150</v>
      </c>
      <c r="O44" s="2697">
        <v>100</v>
      </c>
      <c r="P44" s="2698">
        <v>110</v>
      </c>
      <c r="Q44" s="2779">
        <v>85</v>
      </c>
      <c r="R44" s="2779">
        <v>70</v>
      </c>
      <c r="S44" s="2780">
        <v>50</v>
      </c>
      <c r="T44" s="2780">
        <v>55</v>
      </c>
      <c r="U44" s="2780">
        <v>65</v>
      </c>
      <c r="V44" s="2781" t="s">
        <v>1007</v>
      </c>
      <c r="W44" s="2538" t="s">
        <v>1008</v>
      </c>
      <c r="X44" s="2782">
        <v>120</v>
      </c>
      <c r="Y44" s="2782">
        <v>100</v>
      </c>
      <c r="Z44" s="2783">
        <v>70</v>
      </c>
      <c r="AA44" s="2783">
        <v>80</v>
      </c>
      <c r="AB44" s="2783">
        <v>90</v>
      </c>
      <c r="AC44" s="2784" t="s">
        <v>1869</v>
      </c>
      <c r="AD44" s="2696" t="s">
        <v>1008</v>
      </c>
      <c r="AE44" s="1012"/>
      <c r="AF44" s="760"/>
      <c r="AG44" s="760"/>
      <c r="AH44" s="760"/>
      <c r="AI44" s="1012"/>
      <c r="AJ44" s="1013"/>
      <c r="AK44" s="760"/>
      <c r="AL44" s="760"/>
      <c r="AM44" s="1962"/>
      <c r="AN44" s="760"/>
      <c r="AO44" s="2536" t="s">
        <v>2083</v>
      </c>
      <c r="AP44" s="2533">
        <v>160</v>
      </c>
      <c r="AQ44" s="2528">
        <v>160</v>
      </c>
      <c r="AR44" s="2533">
        <v>160</v>
      </c>
      <c r="AS44" s="2526">
        <v>190</v>
      </c>
      <c r="AT44" s="2533">
        <v>200</v>
      </c>
      <c r="AU44" s="2533">
        <v>200</v>
      </c>
      <c r="AV44" s="2533">
        <v>200</v>
      </c>
      <c r="AW44" s="2534"/>
      <c r="AX44" s="2534"/>
      <c r="AY44" s="2525"/>
      <c r="AZ44" s="2536" t="s">
        <v>2083</v>
      </c>
      <c r="BA44" s="2531">
        <v>80</v>
      </c>
      <c r="BB44" s="2531">
        <v>80</v>
      </c>
      <c r="BC44" s="2531">
        <v>90</v>
      </c>
      <c r="BD44" s="2531">
        <v>90</v>
      </c>
      <c r="BE44" s="2531">
        <v>90</v>
      </c>
      <c r="BF44" s="2525"/>
      <c r="BG44" s="2536" t="s">
        <v>2083</v>
      </c>
      <c r="BH44" s="2530">
        <v>205</v>
      </c>
      <c r="BI44" s="2530">
        <v>205</v>
      </c>
      <c r="BJ44" s="2530">
        <v>260</v>
      </c>
      <c r="BK44" s="2530">
        <v>260</v>
      </c>
      <c r="BL44" s="2530">
        <v>260</v>
      </c>
      <c r="BM44" s="2504"/>
      <c r="BN44" s="2503"/>
      <c r="BO44" s="760"/>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row>
    <row r="45" spans="1:258" ht="25.5" customHeight="1">
      <c r="A45" s="760"/>
      <c r="B45" s="760"/>
      <c r="C45" s="2772" t="s">
        <v>2128</v>
      </c>
      <c r="D45" s="2773"/>
      <c r="E45" s="2747" t="s">
        <v>1002</v>
      </c>
      <c r="F45" s="2775">
        <v>70</v>
      </c>
      <c r="G45" s="2776" t="s">
        <v>1017</v>
      </c>
      <c r="H45" s="2775">
        <v>100</v>
      </c>
      <c r="I45" s="2776" t="s">
        <v>1018</v>
      </c>
      <c r="J45" s="2775">
        <v>115</v>
      </c>
      <c r="K45" s="2776" t="s">
        <v>1019</v>
      </c>
      <c r="L45" s="2777">
        <v>125</v>
      </c>
      <c r="M45" s="2776" t="s">
        <v>1020</v>
      </c>
      <c r="N45" s="2778">
        <v>135</v>
      </c>
      <c r="O45" s="2697">
        <v>90</v>
      </c>
      <c r="P45" s="2698">
        <v>100</v>
      </c>
      <c r="Q45" s="2779">
        <v>85</v>
      </c>
      <c r="R45" s="2779">
        <v>70</v>
      </c>
      <c r="S45" s="2780">
        <v>50</v>
      </c>
      <c r="T45" s="2780">
        <v>55</v>
      </c>
      <c r="U45" s="2780">
        <v>65</v>
      </c>
      <c r="V45" s="2781" t="s">
        <v>1007</v>
      </c>
      <c r="W45" s="2538" t="s">
        <v>1008</v>
      </c>
      <c r="X45" s="2782">
        <v>120</v>
      </c>
      <c r="Y45" s="2782">
        <v>100</v>
      </c>
      <c r="Z45" s="2783">
        <v>70</v>
      </c>
      <c r="AA45" s="2783">
        <v>80</v>
      </c>
      <c r="AB45" s="2783">
        <v>90</v>
      </c>
      <c r="AC45" s="2784" t="s">
        <v>1869</v>
      </c>
      <c r="AD45" s="2696" t="s">
        <v>1008</v>
      </c>
      <c r="AE45" s="1012"/>
      <c r="AF45" s="760"/>
      <c r="AG45" s="760"/>
      <c r="AH45" s="760"/>
      <c r="AI45" s="1012"/>
      <c r="AJ45" s="1013"/>
      <c r="AK45" s="760"/>
      <c r="AL45" s="760"/>
      <c r="AM45" s="1962"/>
      <c r="AN45" s="760"/>
      <c r="AO45" s="2536" t="s">
        <v>2084</v>
      </c>
      <c r="AP45" s="2533">
        <v>210</v>
      </c>
      <c r="AQ45" s="2528">
        <v>210</v>
      </c>
      <c r="AR45" s="2533">
        <v>200</v>
      </c>
      <c r="AS45" s="2526">
        <v>210</v>
      </c>
      <c r="AT45" s="2533">
        <v>250</v>
      </c>
      <c r="AU45" s="2533">
        <v>250</v>
      </c>
      <c r="AV45" s="2533">
        <v>250</v>
      </c>
      <c r="AW45" s="2534"/>
      <c r="AX45" s="2534"/>
      <c r="AY45" s="2525"/>
      <c r="AZ45" s="2536" t="s">
        <v>2084</v>
      </c>
      <c r="BA45" s="2531">
        <v>85</v>
      </c>
      <c r="BB45" s="2531">
        <v>85</v>
      </c>
      <c r="BC45" s="2531">
        <v>105</v>
      </c>
      <c r="BD45" s="2531">
        <v>105</v>
      </c>
      <c r="BE45" s="2531">
        <v>105</v>
      </c>
      <c r="BF45" s="2525"/>
      <c r="BG45" s="2536" t="s">
        <v>2084</v>
      </c>
      <c r="BH45" s="2530">
        <v>230</v>
      </c>
      <c r="BI45" s="2530">
        <v>230</v>
      </c>
      <c r="BJ45" s="2530">
        <v>300</v>
      </c>
      <c r="BK45" s="2530">
        <v>300</v>
      </c>
      <c r="BL45" s="2530">
        <v>300</v>
      </c>
      <c r="BM45" s="2504"/>
      <c r="BN45" s="2503"/>
      <c r="BO45" s="760"/>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row>
    <row r="46" spans="1:258" ht="25.5" customHeight="1">
      <c r="A46" s="760"/>
      <c r="B46" s="760"/>
      <c r="C46" s="2772" t="s">
        <v>2105</v>
      </c>
      <c r="D46" s="2773"/>
      <c r="E46" s="2747" t="s">
        <v>1002</v>
      </c>
      <c r="F46" s="2775">
        <v>55</v>
      </c>
      <c r="G46" s="2776" t="s">
        <v>1017</v>
      </c>
      <c r="H46" s="2775">
        <v>75</v>
      </c>
      <c r="I46" s="2776" t="s">
        <v>1018</v>
      </c>
      <c r="J46" s="2775">
        <v>90</v>
      </c>
      <c r="K46" s="2776" t="s">
        <v>1019</v>
      </c>
      <c r="L46" s="2777">
        <v>100</v>
      </c>
      <c r="M46" s="2776" t="s">
        <v>1020</v>
      </c>
      <c r="N46" s="2778">
        <v>105</v>
      </c>
      <c r="O46" s="2697">
        <v>70</v>
      </c>
      <c r="P46" s="2698">
        <v>80</v>
      </c>
      <c r="Q46" s="2779">
        <v>85</v>
      </c>
      <c r="R46" s="2779">
        <v>70</v>
      </c>
      <c r="S46" s="2780">
        <v>50</v>
      </c>
      <c r="T46" s="2780">
        <v>55</v>
      </c>
      <c r="U46" s="2780">
        <v>65</v>
      </c>
      <c r="V46" s="2781" t="s">
        <v>1007</v>
      </c>
      <c r="W46" s="2538" t="s">
        <v>1008</v>
      </c>
      <c r="X46" s="2782">
        <v>120</v>
      </c>
      <c r="Y46" s="2782">
        <v>100</v>
      </c>
      <c r="Z46" s="2783">
        <v>70</v>
      </c>
      <c r="AA46" s="2783">
        <v>80</v>
      </c>
      <c r="AB46" s="2783">
        <v>90</v>
      </c>
      <c r="AC46" s="2784" t="s">
        <v>1869</v>
      </c>
      <c r="AD46" s="2696" t="s">
        <v>1008</v>
      </c>
      <c r="AE46" s="1012"/>
      <c r="AF46" s="760"/>
      <c r="AG46" s="760"/>
      <c r="AH46" s="760"/>
      <c r="AI46" s="1012"/>
      <c r="AJ46" s="1013"/>
      <c r="AK46" s="760"/>
      <c r="AL46" s="760"/>
      <c r="AM46" s="1962"/>
      <c r="AN46" s="760"/>
      <c r="AO46" s="2536" t="s">
        <v>2085</v>
      </c>
      <c r="AP46" s="2533">
        <v>210</v>
      </c>
      <c r="AQ46" s="2528">
        <v>210</v>
      </c>
      <c r="AR46" s="2533">
        <v>210</v>
      </c>
      <c r="AS46" s="2526">
        <v>210</v>
      </c>
      <c r="AT46" s="2533">
        <v>280</v>
      </c>
      <c r="AU46" s="2533">
        <v>280</v>
      </c>
      <c r="AV46" s="2533">
        <v>280</v>
      </c>
      <c r="AW46" s="2534"/>
      <c r="AX46" s="2534"/>
      <c r="AY46" s="2525"/>
      <c r="AZ46" s="2536" t="s">
        <v>2085</v>
      </c>
      <c r="BA46" s="2531">
        <v>120</v>
      </c>
      <c r="BB46" s="2531">
        <v>120</v>
      </c>
      <c r="BC46" s="2531">
        <v>120</v>
      </c>
      <c r="BD46" s="2531">
        <v>120</v>
      </c>
      <c r="BE46" s="2531">
        <v>120</v>
      </c>
      <c r="BF46" s="2525"/>
      <c r="BG46" s="2536" t="s">
        <v>2085</v>
      </c>
      <c r="BH46" s="2530">
        <v>340</v>
      </c>
      <c r="BI46" s="2530">
        <v>340</v>
      </c>
      <c r="BJ46" s="2530">
        <v>340</v>
      </c>
      <c r="BK46" s="2530">
        <v>340</v>
      </c>
      <c r="BL46" s="2530">
        <v>340</v>
      </c>
      <c r="BM46" s="2504"/>
      <c r="BN46" s="2503"/>
      <c r="BO46" s="760"/>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row>
    <row r="47" spans="1:258" ht="25.5" customHeight="1">
      <c r="A47" s="760"/>
      <c r="B47" s="760"/>
      <c r="C47" s="2772" t="s">
        <v>936</v>
      </c>
      <c r="D47" s="2773"/>
      <c r="E47" s="2747" t="s">
        <v>1882</v>
      </c>
      <c r="F47" s="2775">
        <v>110</v>
      </c>
      <c r="G47" s="2776" t="s">
        <v>1883</v>
      </c>
      <c r="H47" s="2775">
        <v>155</v>
      </c>
      <c r="I47" s="2776" t="s">
        <v>1884</v>
      </c>
      <c r="J47" s="2775">
        <v>180</v>
      </c>
      <c r="K47" s="2776" t="s">
        <v>1885</v>
      </c>
      <c r="L47" s="2777">
        <v>195</v>
      </c>
      <c r="M47" s="2776" t="s">
        <v>1021</v>
      </c>
      <c r="N47" s="2778">
        <v>210</v>
      </c>
      <c r="O47" s="2697">
        <v>140</v>
      </c>
      <c r="P47" s="2698">
        <v>160</v>
      </c>
      <c r="Q47" s="2779">
        <v>130</v>
      </c>
      <c r="R47" s="2779">
        <v>105</v>
      </c>
      <c r="S47" s="2780">
        <v>75</v>
      </c>
      <c r="T47" s="2780">
        <v>85</v>
      </c>
      <c r="U47" s="2780">
        <v>100</v>
      </c>
      <c r="V47" s="2781" t="s">
        <v>1007</v>
      </c>
      <c r="W47" s="2538" t="s">
        <v>1008</v>
      </c>
      <c r="X47" s="2782">
        <v>300</v>
      </c>
      <c r="Y47" s="2782">
        <v>250</v>
      </c>
      <c r="Z47" s="2783">
        <v>180</v>
      </c>
      <c r="AA47" s="2783">
        <v>200</v>
      </c>
      <c r="AB47" s="2783">
        <v>230</v>
      </c>
      <c r="AC47" s="2784" t="s">
        <v>1869</v>
      </c>
      <c r="AD47" s="2696" t="s">
        <v>1008</v>
      </c>
      <c r="AE47" s="1012"/>
      <c r="AF47" s="760"/>
      <c r="AG47" s="760"/>
      <c r="AH47" s="760"/>
      <c r="AI47" s="1012"/>
      <c r="AJ47" s="1013"/>
      <c r="AK47" s="760"/>
      <c r="AL47" s="760"/>
      <c r="AM47" s="1962"/>
      <c r="AN47" s="760"/>
      <c r="AO47" s="2536" t="s">
        <v>2086</v>
      </c>
      <c r="AP47" s="2533">
        <v>15</v>
      </c>
      <c r="AQ47" s="2528">
        <v>25</v>
      </c>
      <c r="AR47" s="2533">
        <v>25</v>
      </c>
      <c r="AS47" s="2526">
        <v>25</v>
      </c>
      <c r="AT47" s="2533">
        <v>25</v>
      </c>
      <c r="AU47" s="2533">
        <v>25</v>
      </c>
      <c r="AV47" s="2533">
        <v>25</v>
      </c>
      <c r="AW47" s="2534"/>
      <c r="AX47" s="2534"/>
      <c r="AY47" s="2525"/>
      <c r="AZ47" s="2536" t="s">
        <v>2086</v>
      </c>
      <c r="BA47" s="2531">
        <v>15</v>
      </c>
      <c r="BB47" s="2531">
        <v>30</v>
      </c>
      <c r="BC47" s="2531">
        <v>30</v>
      </c>
      <c r="BD47" s="2531">
        <v>30</v>
      </c>
      <c r="BE47" s="2531">
        <v>30</v>
      </c>
      <c r="BF47" s="2525"/>
      <c r="BG47" s="2536" t="s">
        <v>2086</v>
      </c>
      <c r="BH47" s="2535">
        <v>45</v>
      </c>
      <c r="BI47" s="2530">
        <v>80</v>
      </c>
      <c r="BJ47" s="2530">
        <v>80</v>
      </c>
      <c r="BK47" s="2530">
        <v>80</v>
      </c>
      <c r="BL47" s="2530">
        <v>80</v>
      </c>
      <c r="BM47" s="2504"/>
      <c r="BN47" s="2503"/>
      <c r="BO47" s="760"/>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row>
    <row r="48" spans="1:258" ht="25.5" customHeight="1">
      <c r="A48" s="760"/>
      <c r="B48" s="760"/>
      <c r="C48" s="2772" t="s">
        <v>2106</v>
      </c>
      <c r="D48" s="2773"/>
      <c r="E48" s="2747" t="s">
        <v>1023</v>
      </c>
      <c r="F48" s="2775">
        <v>130</v>
      </c>
      <c r="G48" s="2776" t="s">
        <v>1024</v>
      </c>
      <c r="H48" s="2775">
        <v>175</v>
      </c>
      <c r="I48" s="2776" t="s">
        <v>1025</v>
      </c>
      <c r="J48" s="2775">
        <v>210</v>
      </c>
      <c r="K48" s="2776" t="s">
        <v>1026</v>
      </c>
      <c r="L48" s="2777">
        <v>225</v>
      </c>
      <c r="M48" s="2776" t="s">
        <v>1027</v>
      </c>
      <c r="N48" s="2778">
        <v>240</v>
      </c>
      <c r="O48" s="2697">
        <v>160</v>
      </c>
      <c r="P48" s="2698">
        <v>180</v>
      </c>
      <c r="Q48" s="2779">
        <v>135</v>
      </c>
      <c r="R48" s="2779">
        <v>115</v>
      </c>
      <c r="S48" s="2780">
        <v>80</v>
      </c>
      <c r="T48" s="2780">
        <v>90</v>
      </c>
      <c r="U48" s="2780">
        <v>105</v>
      </c>
      <c r="V48" s="2781" t="s">
        <v>1007</v>
      </c>
      <c r="W48" s="2538" t="s">
        <v>1008</v>
      </c>
      <c r="X48" s="2782">
        <v>340</v>
      </c>
      <c r="Y48" s="2782">
        <v>280</v>
      </c>
      <c r="Z48" s="2783">
        <v>205</v>
      </c>
      <c r="AA48" s="2783">
        <v>225</v>
      </c>
      <c r="AB48" s="2783">
        <v>260</v>
      </c>
      <c r="AC48" s="2784" t="s">
        <v>1869</v>
      </c>
      <c r="AD48" s="2696" t="s">
        <v>1008</v>
      </c>
      <c r="AE48" s="1012"/>
      <c r="AF48" s="760"/>
      <c r="AG48" s="760"/>
      <c r="AH48" s="760"/>
      <c r="AI48" s="1012"/>
      <c r="AJ48" s="1013"/>
      <c r="AK48" s="760"/>
      <c r="AL48" s="760"/>
      <c r="AM48" s="1962"/>
      <c r="AN48" s="760"/>
      <c r="AO48" s="2536" t="s">
        <v>2087</v>
      </c>
      <c r="AP48" s="2533">
        <v>45</v>
      </c>
      <c r="AQ48" s="2528">
        <v>70</v>
      </c>
      <c r="AR48" s="2533">
        <v>70</v>
      </c>
      <c r="AS48" s="2526">
        <v>70</v>
      </c>
      <c r="AT48" s="2533">
        <v>70</v>
      </c>
      <c r="AU48" s="2533">
        <v>70</v>
      </c>
      <c r="AV48" s="2533">
        <v>70</v>
      </c>
      <c r="AW48" s="2534"/>
      <c r="AX48" s="2534"/>
      <c r="AY48" s="2525"/>
      <c r="AZ48" s="2536" t="s">
        <v>2087</v>
      </c>
      <c r="BA48" s="2531">
        <v>30</v>
      </c>
      <c r="BB48" s="2531">
        <v>45</v>
      </c>
      <c r="BC48" s="2531">
        <v>45</v>
      </c>
      <c r="BD48" s="2531">
        <v>45</v>
      </c>
      <c r="BE48" s="2531">
        <v>45</v>
      </c>
      <c r="BF48" s="2525"/>
      <c r="BG48" s="2536" t="s">
        <v>2087</v>
      </c>
      <c r="BH48" s="2535">
        <v>80</v>
      </c>
      <c r="BI48" s="2530">
        <v>120</v>
      </c>
      <c r="BJ48" s="2530">
        <v>120</v>
      </c>
      <c r="BK48" s="2530">
        <v>120</v>
      </c>
      <c r="BL48" s="2530">
        <v>120</v>
      </c>
      <c r="BM48" s="2504"/>
      <c r="BN48" s="2503"/>
      <c r="BO48" s="760"/>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row>
    <row r="49" spans="1:258" ht="25.5" customHeight="1">
      <c r="A49" s="760"/>
      <c r="B49" s="760"/>
      <c r="C49" s="2772" t="s">
        <v>1891</v>
      </c>
      <c r="D49" s="2773"/>
      <c r="E49" s="2747" t="s">
        <v>1032</v>
      </c>
      <c r="F49" s="2775">
        <v>110</v>
      </c>
      <c r="G49" s="2776" t="s">
        <v>1019</v>
      </c>
      <c r="H49" s="2775">
        <v>155</v>
      </c>
      <c r="I49" s="2776" t="s">
        <v>1033</v>
      </c>
      <c r="J49" s="2775">
        <v>180</v>
      </c>
      <c r="K49" s="2776" t="s">
        <v>1034</v>
      </c>
      <c r="L49" s="2777">
        <v>195</v>
      </c>
      <c r="M49" s="2776" t="s">
        <v>1035</v>
      </c>
      <c r="N49" s="2778">
        <v>210</v>
      </c>
      <c r="O49" s="2697">
        <v>140</v>
      </c>
      <c r="P49" s="2698">
        <v>160</v>
      </c>
      <c r="Q49" s="2779">
        <v>130</v>
      </c>
      <c r="R49" s="2779">
        <v>105</v>
      </c>
      <c r="S49" s="2780">
        <v>75</v>
      </c>
      <c r="T49" s="2780">
        <v>85</v>
      </c>
      <c r="U49" s="2780">
        <v>100</v>
      </c>
      <c r="V49" s="2781" t="s">
        <v>1007</v>
      </c>
      <c r="W49" s="2538" t="s">
        <v>1008</v>
      </c>
      <c r="X49" s="2782">
        <v>315</v>
      </c>
      <c r="Y49" s="2782">
        <v>265</v>
      </c>
      <c r="Z49" s="2783">
        <v>190</v>
      </c>
      <c r="AA49" s="2783">
        <v>210</v>
      </c>
      <c r="AB49" s="2783">
        <v>240</v>
      </c>
      <c r="AC49" s="2784" t="s">
        <v>1869</v>
      </c>
      <c r="AD49" s="2696" t="s">
        <v>1008</v>
      </c>
      <c r="AE49" s="1012"/>
      <c r="AF49" s="760"/>
      <c r="AG49" s="760"/>
      <c r="AH49" s="760"/>
      <c r="AI49" s="1012"/>
      <c r="AJ49" s="1013"/>
      <c r="AK49" s="760"/>
      <c r="AL49" s="760"/>
      <c r="AM49" s="1962"/>
      <c r="AN49" s="760"/>
      <c r="AO49" s="2536" t="s">
        <v>2088</v>
      </c>
      <c r="AP49" s="2533">
        <v>80</v>
      </c>
      <c r="AQ49" s="2528">
        <v>90</v>
      </c>
      <c r="AR49" s="2533">
        <v>90</v>
      </c>
      <c r="AS49" s="2526">
        <v>105</v>
      </c>
      <c r="AT49" s="2533">
        <v>115</v>
      </c>
      <c r="AU49" s="2533">
        <v>115</v>
      </c>
      <c r="AV49" s="2533">
        <v>115</v>
      </c>
      <c r="AW49" s="2534"/>
      <c r="AX49" s="2534"/>
      <c r="AY49" s="2525"/>
      <c r="AZ49" s="2536" t="s">
        <v>2088</v>
      </c>
      <c r="BA49" s="2531">
        <v>45</v>
      </c>
      <c r="BB49" s="2531">
        <v>65</v>
      </c>
      <c r="BC49" s="2531">
        <v>80</v>
      </c>
      <c r="BD49" s="2531">
        <v>80</v>
      </c>
      <c r="BE49" s="2531">
        <v>80</v>
      </c>
      <c r="BF49" s="2525"/>
      <c r="BG49" s="2536" t="s">
        <v>2088</v>
      </c>
      <c r="BH49" s="2535">
        <v>130</v>
      </c>
      <c r="BI49" s="2530">
        <v>170</v>
      </c>
      <c r="BJ49" s="2530">
        <v>215</v>
      </c>
      <c r="BK49" s="2530">
        <v>215</v>
      </c>
      <c r="BL49" s="2530">
        <v>215</v>
      </c>
      <c r="BM49" s="2504"/>
      <c r="BN49" s="2503"/>
      <c r="BO49" s="760"/>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row>
    <row r="50" spans="1:258" ht="25.5" customHeight="1">
      <c r="A50" s="760"/>
      <c r="B50" s="760"/>
      <c r="C50" s="2772" t="s">
        <v>1892</v>
      </c>
      <c r="D50" s="2773"/>
      <c r="E50" s="2747" t="s">
        <v>1037</v>
      </c>
      <c r="F50" s="2775">
        <v>130</v>
      </c>
      <c r="G50" s="2776" t="s">
        <v>1867</v>
      </c>
      <c r="H50" s="2775">
        <v>175</v>
      </c>
      <c r="I50" s="2776" t="s">
        <v>1817</v>
      </c>
      <c r="J50" s="2775">
        <v>210</v>
      </c>
      <c r="K50" s="2776" t="s">
        <v>1818</v>
      </c>
      <c r="L50" s="2777">
        <v>225</v>
      </c>
      <c r="M50" s="2776" t="s">
        <v>1038</v>
      </c>
      <c r="N50" s="2778">
        <v>240</v>
      </c>
      <c r="O50" s="2697">
        <v>140</v>
      </c>
      <c r="P50" s="2698">
        <v>160</v>
      </c>
      <c r="Q50" s="2779">
        <v>145</v>
      </c>
      <c r="R50" s="2779">
        <v>120</v>
      </c>
      <c r="S50" s="2780">
        <v>85</v>
      </c>
      <c r="T50" s="2780">
        <v>95</v>
      </c>
      <c r="U50" s="2780">
        <v>110</v>
      </c>
      <c r="V50" s="2781" t="s">
        <v>1007</v>
      </c>
      <c r="W50" s="2538" t="s">
        <v>1008</v>
      </c>
      <c r="X50" s="2782">
        <v>565</v>
      </c>
      <c r="Y50" s="2782">
        <v>470</v>
      </c>
      <c r="Z50" s="2783">
        <v>340</v>
      </c>
      <c r="AA50" s="2783">
        <v>375</v>
      </c>
      <c r="AB50" s="2783">
        <v>430</v>
      </c>
      <c r="AC50" s="2784" t="s">
        <v>1869</v>
      </c>
      <c r="AD50" s="2696" t="s">
        <v>1008</v>
      </c>
      <c r="AE50" s="1012"/>
      <c r="AF50" s="760"/>
      <c r="AG50" s="760"/>
      <c r="AH50" s="760"/>
      <c r="AI50" s="1012"/>
      <c r="AJ50" s="1013"/>
      <c r="AK50" s="760"/>
      <c r="AL50" s="760"/>
      <c r="AM50" s="1962"/>
      <c r="AN50" s="760"/>
      <c r="AO50" s="2536" t="s">
        <v>2089</v>
      </c>
      <c r="AP50" s="2533">
        <v>120</v>
      </c>
      <c r="AQ50" s="2528">
        <v>120</v>
      </c>
      <c r="AR50" s="2533">
        <v>120</v>
      </c>
      <c r="AS50" s="2526">
        <v>145</v>
      </c>
      <c r="AT50" s="2533">
        <v>150</v>
      </c>
      <c r="AU50" s="2533">
        <v>150</v>
      </c>
      <c r="AV50" s="2533">
        <v>150</v>
      </c>
      <c r="AW50" s="2534"/>
      <c r="AX50" s="2534"/>
      <c r="AY50" s="2525"/>
      <c r="AZ50" s="2536" t="s">
        <v>2089</v>
      </c>
      <c r="BA50" s="2531">
        <v>80</v>
      </c>
      <c r="BB50" s="2531">
        <v>80</v>
      </c>
      <c r="BC50" s="2531">
        <v>90</v>
      </c>
      <c r="BD50" s="2531">
        <v>90</v>
      </c>
      <c r="BE50" s="2531">
        <v>90</v>
      </c>
      <c r="BF50" s="2525"/>
      <c r="BG50" s="2536" t="s">
        <v>2089</v>
      </c>
      <c r="BH50" s="2530">
        <v>205</v>
      </c>
      <c r="BI50" s="2530">
        <v>205</v>
      </c>
      <c r="BJ50" s="2530">
        <v>260</v>
      </c>
      <c r="BK50" s="2530">
        <v>260</v>
      </c>
      <c r="BL50" s="2530">
        <v>260</v>
      </c>
      <c r="BM50" s="2504"/>
      <c r="BN50" s="2503"/>
      <c r="BO50" s="76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row>
    <row r="51" spans="1:258" ht="25.5" customHeight="1">
      <c r="A51" s="760"/>
      <c r="B51" s="760"/>
      <c r="C51" s="2772" t="s">
        <v>1893</v>
      </c>
      <c r="D51" s="2773"/>
      <c r="E51" s="2747" t="s">
        <v>1039</v>
      </c>
      <c r="F51" s="2775">
        <v>130</v>
      </c>
      <c r="G51" s="2776" t="s">
        <v>1040</v>
      </c>
      <c r="H51" s="2775">
        <v>175</v>
      </c>
      <c r="I51" s="2776" t="s">
        <v>1041</v>
      </c>
      <c r="J51" s="2775">
        <v>210</v>
      </c>
      <c r="K51" s="2776" t="s">
        <v>1042</v>
      </c>
      <c r="L51" s="2777">
        <v>225</v>
      </c>
      <c r="M51" s="2776" t="s">
        <v>1043</v>
      </c>
      <c r="N51" s="2778">
        <v>240</v>
      </c>
      <c r="O51" s="2697">
        <v>140</v>
      </c>
      <c r="P51" s="2698">
        <v>160</v>
      </c>
      <c r="Q51" s="2779">
        <v>145</v>
      </c>
      <c r="R51" s="2779">
        <v>120</v>
      </c>
      <c r="S51" s="2780">
        <v>85</v>
      </c>
      <c r="T51" s="2780">
        <v>95</v>
      </c>
      <c r="U51" s="2780">
        <v>110</v>
      </c>
      <c r="V51" s="2781" t="s">
        <v>1007</v>
      </c>
      <c r="W51" s="2538" t="s">
        <v>1008</v>
      </c>
      <c r="X51" s="2782">
        <v>565</v>
      </c>
      <c r="Y51" s="2782">
        <v>470</v>
      </c>
      <c r="Z51" s="2783">
        <v>340</v>
      </c>
      <c r="AA51" s="2783">
        <v>375</v>
      </c>
      <c r="AB51" s="2783">
        <v>430</v>
      </c>
      <c r="AC51" s="2784" t="s">
        <v>1869</v>
      </c>
      <c r="AD51" s="2696" t="s">
        <v>1008</v>
      </c>
      <c r="AE51" s="1012"/>
      <c r="AF51" s="760"/>
      <c r="AG51" s="760"/>
      <c r="AH51" s="760"/>
      <c r="AI51" s="1012"/>
      <c r="AJ51" s="1013"/>
      <c r="AK51" s="760"/>
      <c r="AL51" s="760"/>
      <c r="AM51" s="1962"/>
      <c r="AN51" s="760"/>
      <c r="AO51" s="2536" t="s">
        <v>2090</v>
      </c>
      <c r="AP51" s="2533">
        <v>160</v>
      </c>
      <c r="AQ51" s="2528">
        <v>160</v>
      </c>
      <c r="AR51" s="2533">
        <v>160</v>
      </c>
      <c r="AS51" s="2526">
        <v>160</v>
      </c>
      <c r="AT51" s="2533">
        <v>190</v>
      </c>
      <c r="AU51" s="2533">
        <v>190</v>
      </c>
      <c r="AV51" s="2533">
        <v>190</v>
      </c>
      <c r="AW51" s="2534"/>
      <c r="AX51" s="2534"/>
      <c r="AY51" s="2525"/>
      <c r="AZ51" s="2536" t="s">
        <v>2090</v>
      </c>
      <c r="BA51" s="2531">
        <v>85</v>
      </c>
      <c r="BB51" s="2531">
        <v>85</v>
      </c>
      <c r="BC51" s="2531">
        <v>105</v>
      </c>
      <c r="BD51" s="2531">
        <v>105</v>
      </c>
      <c r="BE51" s="2531">
        <v>105</v>
      </c>
      <c r="BF51" s="2525"/>
      <c r="BG51" s="2536" t="s">
        <v>2090</v>
      </c>
      <c r="BH51" s="2530">
        <v>230</v>
      </c>
      <c r="BI51" s="2530">
        <v>230</v>
      </c>
      <c r="BJ51" s="2530">
        <v>300</v>
      </c>
      <c r="BK51" s="2530">
        <v>300</v>
      </c>
      <c r="BL51" s="2530">
        <v>300</v>
      </c>
      <c r="BM51" s="2504"/>
      <c r="BN51" s="2503"/>
      <c r="BO51" s="760"/>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row>
    <row r="52" spans="1:258" ht="25.5" customHeight="1">
      <c r="A52" s="760"/>
      <c r="B52" s="760"/>
      <c r="C52" s="2772" t="s">
        <v>2129</v>
      </c>
      <c r="D52" s="2773"/>
      <c r="E52" s="2747" t="s">
        <v>1044</v>
      </c>
      <c r="F52" s="2775">
        <v>110</v>
      </c>
      <c r="G52" s="2776" t="s">
        <v>1895</v>
      </c>
      <c r="H52" s="2775">
        <v>155</v>
      </c>
      <c r="I52" s="2776" t="s">
        <v>1896</v>
      </c>
      <c r="J52" s="2775">
        <v>180</v>
      </c>
      <c r="K52" s="2776" t="s">
        <v>1897</v>
      </c>
      <c r="L52" s="2777">
        <v>195</v>
      </c>
      <c r="M52" s="2776" t="s">
        <v>1055</v>
      </c>
      <c r="N52" s="2778">
        <v>210</v>
      </c>
      <c r="O52" s="2697">
        <v>140</v>
      </c>
      <c r="P52" s="2698">
        <v>160</v>
      </c>
      <c r="Q52" s="2779">
        <v>115</v>
      </c>
      <c r="R52" s="2779">
        <v>95</v>
      </c>
      <c r="S52" s="2780">
        <v>70</v>
      </c>
      <c r="T52" s="2780">
        <v>75</v>
      </c>
      <c r="U52" s="2780">
        <v>85</v>
      </c>
      <c r="V52" s="2781" t="s">
        <v>1007</v>
      </c>
      <c r="W52" s="2538" t="s">
        <v>1008</v>
      </c>
      <c r="X52" s="2782">
        <v>300</v>
      </c>
      <c r="Y52" s="2782">
        <v>250</v>
      </c>
      <c r="Z52" s="2783">
        <v>180</v>
      </c>
      <c r="AA52" s="2783">
        <v>200</v>
      </c>
      <c r="AB52" s="2783">
        <v>230</v>
      </c>
      <c r="AC52" s="2784" t="s">
        <v>1869</v>
      </c>
      <c r="AD52" s="2696" t="s">
        <v>1008</v>
      </c>
      <c r="AE52" s="1012"/>
      <c r="AF52" s="760"/>
      <c r="AG52" s="760"/>
      <c r="AH52" s="760"/>
      <c r="AI52" s="1012"/>
      <c r="AJ52" s="1013"/>
      <c r="AK52" s="760"/>
      <c r="AL52" s="760"/>
      <c r="AM52" s="1962"/>
      <c r="AN52" s="760"/>
      <c r="AO52" s="2536" t="s">
        <v>2091</v>
      </c>
      <c r="AP52" s="2533">
        <v>210</v>
      </c>
      <c r="AQ52" s="2528">
        <v>160</v>
      </c>
      <c r="AR52" s="2533">
        <v>210</v>
      </c>
      <c r="AS52" s="2526">
        <v>160</v>
      </c>
      <c r="AT52" s="2533">
        <v>210</v>
      </c>
      <c r="AU52" s="2533">
        <v>210</v>
      </c>
      <c r="AV52" s="2533">
        <v>210</v>
      </c>
      <c r="AW52" s="2534"/>
      <c r="AX52" s="2534"/>
      <c r="AY52" s="2525"/>
      <c r="AZ52" s="2536" t="s">
        <v>2091</v>
      </c>
      <c r="BA52" s="2531">
        <v>120</v>
      </c>
      <c r="BB52" s="2531">
        <v>120</v>
      </c>
      <c r="BC52" s="2531">
        <v>120</v>
      </c>
      <c r="BD52" s="2531">
        <v>120</v>
      </c>
      <c r="BE52" s="2531">
        <v>120</v>
      </c>
      <c r="BF52" s="2525"/>
      <c r="BG52" s="2536" t="s">
        <v>2091</v>
      </c>
      <c r="BH52" s="2530">
        <v>340</v>
      </c>
      <c r="BI52" s="2530">
        <v>340</v>
      </c>
      <c r="BJ52" s="2530">
        <v>340</v>
      </c>
      <c r="BK52" s="2530">
        <v>340</v>
      </c>
      <c r="BL52" s="2530">
        <v>340</v>
      </c>
      <c r="BM52" s="2504"/>
      <c r="BN52" s="2503"/>
      <c r="BO52" s="760"/>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row>
    <row r="53" spans="1:258" ht="21.75" customHeight="1">
      <c r="A53" s="760"/>
      <c r="C53" s="2772" t="s">
        <v>2130</v>
      </c>
      <c r="D53" s="2773"/>
      <c r="E53" s="2747" t="s">
        <v>1049</v>
      </c>
      <c r="F53" s="2775">
        <v>60</v>
      </c>
      <c r="G53" s="2776" t="s">
        <v>1899</v>
      </c>
      <c r="H53" s="2775">
        <v>60</v>
      </c>
      <c r="I53" s="2776" t="s">
        <v>1900</v>
      </c>
      <c r="J53" s="2775">
        <v>60</v>
      </c>
      <c r="K53" s="2776" t="s">
        <v>1900</v>
      </c>
      <c r="L53" s="2777">
        <v>60</v>
      </c>
      <c r="M53" s="2776" t="s">
        <v>1900</v>
      </c>
      <c r="N53" s="2778">
        <v>60</v>
      </c>
      <c r="O53" s="2805" t="s">
        <v>1819</v>
      </c>
      <c r="P53" s="2698" t="s">
        <v>1819</v>
      </c>
      <c r="Q53" s="2779">
        <v>100</v>
      </c>
      <c r="R53" s="2779">
        <v>80</v>
      </c>
      <c r="S53" s="2780">
        <v>60</v>
      </c>
      <c r="T53" s="2780">
        <v>65</v>
      </c>
      <c r="U53" s="2780">
        <v>75</v>
      </c>
      <c r="V53" s="2781" t="s">
        <v>1007</v>
      </c>
      <c r="W53" s="2538" t="s">
        <v>1008</v>
      </c>
      <c r="X53" s="2782">
        <v>180</v>
      </c>
      <c r="Y53" s="2782">
        <v>150</v>
      </c>
      <c r="Z53" s="2783">
        <v>110</v>
      </c>
      <c r="AA53" s="2783">
        <v>120</v>
      </c>
      <c r="AB53" s="2783">
        <v>140</v>
      </c>
      <c r="AC53" s="2784" t="s">
        <v>1869</v>
      </c>
      <c r="AD53" s="2696" t="s">
        <v>1008</v>
      </c>
      <c r="AE53" s="1012"/>
      <c r="AF53" s="1012"/>
      <c r="AG53" s="1012"/>
      <c r="AH53" s="1012"/>
      <c r="AI53" s="1012"/>
      <c r="AJ53" s="1012"/>
      <c r="AK53" s="1012"/>
      <c r="AL53" s="760"/>
      <c r="AN53" s="760"/>
      <c r="AO53" s="2536" t="s">
        <v>1979</v>
      </c>
      <c r="AP53" s="2533">
        <v>15</v>
      </c>
      <c r="AQ53" s="2528">
        <v>25</v>
      </c>
      <c r="AR53" s="2533">
        <v>25</v>
      </c>
      <c r="AS53" s="2526">
        <v>25</v>
      </c>
      <c r="AT53" s="2533">
        <v>25</v>
      </c>
      <c r="AU53" s="2533">
        <v>25</v>
      </c>
      <c r="AV53" s="2533">
        <v>25</v>
      </c>
      <c r="AW53" s="2534"/>
      <c r="AX53" s="2534"/>
      <c r="AY53" s="2525"/>
      <c r="AZ53" s="2536" t="s">
        <v>1979</v>
      </c>
      <c r="BA53" s="2531">
        <v>15</v>
      </c>
      <c r="BB53" s="2531">
        <v>30</v>
      </c>
      <c r="BC53" s="2531">
        <v>30</v>
      </c>
      <c r="BD53" s="2531">
        <v>30</v>
      </c>
      <c r="BE53" s="2531">
        <v>30</v>
      </c>
      <c r="BF53" s="2525"/>
      <c r="BG53" s="2536" t="s">
        <v>1979</v>
      </c>
      <c r="BH53" s="2535">
        <v>45</v>
      </c>
      <c r="BI53" s="2530">
        <v>80</v>
      </c>
      <c r="BJ53" s="2530">
        <v>80</v>
      </c>
      <c r="BK53" s="2530">
        <v>80</v>
      </c>
      <c r="BL53" s="2530">
        <v>80</v>
      </c>
      <c r="BM53" s="2509"/>
      <c r="BN53" s="2392"/>
      <c r="BO53" s="760"/>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row>
    <row r="54" spans="1:258" ht="18.75" customHeight="1">
      <c r="A54" s="760"/>
      <c r="C54" s="2772" t="s">
        <v>1901</v>
      </c>
      <c r="D54" s="2773"/>
      <c r="E54" s="2747" t="s">
        <v>1824</v>
      </c>
      <c r="F54" s="2775">
        <v>60</v>
      </c>
      <c r="G54" s="2786" t="s">
        <v>2138</v>
      </c>
      <c r="H54" s="2775">
        <v>60</v>
      </c>
      <c r="I54" s="2776" t="s">
        <v>1902</v>
      </c>
      <c r="J54" s="2775">
        <v>60</v>
      </c>
      <c r="K54" s="2776" t="s">
        <v>1902</v>
      </c>
      <c r="L54" s="2777">
        <v>60</v>
      </c>
      <c r="M54" s="2776" t="s">
        <v>1902</v>
      </c>
      <c r="N54" s="2778">
        <v>60</v>
      </c>
      <c r="O54" s="2805" t="s">
        <v>1819</v>
      </c>
      <c r="P54" s="2698" t="s">
        <v>1819</v>
      </c>
      <c r="Q54" s="2779">
        <v>100</v>
      </c>
      <c r="R54" s="2779">
        <v>80</v>
      </c>
      <c r="S54" s="2780">
        <v>60</v>
      </c>
      <c r="T54" s="2780">
        <v>65</v>
      </c>
      <c r="U54" s="2780">
        <v>75</v>
      </c>
      <c r="V54" s="2781" t="s">
        <v>1007</v>
      </c>
      <c r="W54" s="2538" t="s">
        <v>1008</v>
      </c>
      <c r="X54" s="2782">
        <v>150</v>
      </c>
      <c r="Y54" s="2782">
        <v>125</v>
      </c>
      <c r="Z54" s="2783">
        <v>90</v>
      </c>
      <c r="AA54" s="2783">
        <v>100</v>
      </c>
      <c r="AB54" s="2783">
        <v>115</v>
      </c>
      <c r="AC54" s="2784" t="s">
        <v>1869</v>
      </c>
      <c r="AD54" s="2696" t="s">
        <v>1008</v>
      </c>
      <c r="AE54" s="1012"/>
      <c r="AF54" s="1012"/>
      <c r="AG54" s="1012"/>
      <c r="AH54" s="1012"/>
      <c r="AI54" s="1012"/>
      <c r="AJ54" s="1012"/>
      <c r="AK54" s="1012"/>
      <c r="AL54" s="760"/>
      <c r="AN54" s="760"/>
      <c r="AO54" s="2536" t="s">
        <v>2092</v>
      </c>
      <c r="AP54" s="2533">
        <v>45</v>
      </c>
      <c r="AQ54" s="2528">
        <v>70</v>
      </c>
      <c r="AR54" s="2533">
        <v>70</v>
      </c>
      <c r="AS54" s="2526">
        <v>70</v>
      </c>
      <c r="AT54" s="2533">
        <v>70</v>
      </c>
      <c r="AU54" s="2533">
        <v>70</v>
      </c>
      <c r="AV54" s="2533">
        <v>70</v>
      </c>
      <c r="AW54" s="2534"/>
      <c r="AX54" s="2534"/>
      <c r="AY54" s="2525"/>
      <c r="AZ54" s="2536" t="s">
        <v>2092</v>
      </c>
      <c r="BA54" s="2531">
        <v>30</v>
      </c>
      <c r="BB54" s="2531">
        <v>45</v>
      </c>
      <c r="BC54" s="2531">
        <v>45</v>
      </c>
      <c r="BD54" s="2531">
        <v>45</v>
      </c>
      <c r="BE54" s="2531">
        <v>45</v>
      </c>
      <c r="BF54" s="2525"/>
      <c r="BG54" s="2536" t="s">
        <v>2092</v>
      </c>
      <c r="BH54" s="2535">
        <v>80</v>
      </c>
      <c r="BI54" s="2530">
        <v>120</v>
      </c>
      <c r="BJ54" s="2530">
        <v>120</v>
      </c>
      <c r="BK54" s="2530">
        <v>120</v>
      </c>
      <c r="BL54" s="2530">
        <v>120</v>
      </c>
      <c r="BM54" s="2509"/>
      <c r="BN54" s="2392"/>
      <c r="BO54" s="760"/>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row>
    <row r="55" spans="1:258" ht="24" customHeight="1">
      <c r="A55" s="760"/>
      <c r="C55" s="2772" t="s">
        <v>1903</v>
      </c>
      <c r="D55" s="2773"/>
      <c r="E55" s="2747" t="s">
        <v>1824</v>
      </c>
      <c r="F55" s="2775">
        <v>60</v>
      </c>
      <c r="G55" s="2776" t="s">
        <v>1826</v>
      </c>
      <c r="H55" s="2775">
        <v>60</v>
      </c>
      <c r="I55" s="2776" t="s">
        <v>1095</v>
      </c>
      <c r="J55" s="2775">
        <v>60</v>
      </c>
      <c r="K55" s="2776" t="s">
        <v>1095</v>
      </c>
      <c r="L55" s="2777">
        <v>60</v>
      </c>
      <c r="M55" s="2776" t="s">
        <v>1095</v>
      </c>
      <c r="N55" s="2778">
        <v>60</v>
      </c>
      <c r="O55" s="2805" t="s">
        <v>1819</v>
      </c>
      <c r="P55" s="2698" t="s">
        <v>1819</v>
      </c>
      <c r="Q55" s="2779">
        <v>100</v>
      </c>
      <c r="R55" s="2779">
        <v>80</v>
      </c>
      <c r="S55" s="2780">
        <v>60</v>
      </c>
      <c r="T55" s="2780">
        <v>65</v>
      </c>
      <c r="U55" s="2780">
        <v>75</v>
      </c>
      <c r="V55" s="2781" t="s">
        <v>1007</v>
      </c>
      <c r="W55" s="2538" t="s">
        <v>1008</v>
      </c>
      <c r="X55" s="2782">
        <v>135</v>
      </c>
      <c r="Y55" s="2782">
        <v>115</v>
      </c>
      <c r="Z55" s="2783">
        <v>80</v>
      </c>
      <c r="AA55" s="2783">
        <v>90</v>
      </c>
      <c r="AB55" s="2783">
        <v>105</v>
      </c>
      <c r="AC55" s="2784" t="s">
        <v>1869</v>
      </c>
      <c r="AD55" s="2696" t="s">
        <v>1008</v>
      </c>
      <c r="AE55" s="1012"/>
      <c r="AF55" s="1012"/>
      <c r="AG55" s="1012"/>
      <c r="AH55" s="1012"/>
      <c r="AI55" s="1012"/>
      <c r="AJ55" s="1012"/>
      <c r="AK55" s="1012"/>
      <c r="AL55" s="760"/>
      <c r="AM55" s="760"/>
      <c r="AN55" s="760"/>
      <c r="AO55" s="2536" t="s">
        <v>2093</v>
      </c>
      <c r="AP55" s="2533">
        <v>80</v>
      </c>
      <c r="AQ55" s="2528">
        <v>90</v>
      </c>
      <c r="AR55" s="2533">
        <v>90</v>
      </c>
      <c r="AS55" s="2526">
        <v>105</v>
      </c>
      <c r="AT55" s="2533">
        <v>115</v>
      </c>
      <c r="AU55" s="2533">
        <v>115</v>
      </c>
      <c r="AV55" s="2533">
        <v>115</v>
      </c>
      <c r="AW55" s="2534"/>
      <c r="AX55" s="2534"/>
      <c r="AY55" s="2525"/>
      <c r="AZ55" s="2536" t="s">
        <v>2093</v>
      </c>
      <c r="BA55" s="2531">
        <v>45</v>
      </c>
      <c r="BB55" s="2531">
        <v>65</v>
      </c>
      <c r="BC55" s="2531">
        <v>80</v>
      </c>
      <c r="BD55" s="2531">
        <v>80</v>
      </c>
      <c r="BE55" s="2531">
        <v>80</v>
      </c>
      <c r="BF55" s="2525"/>
      <c r="BG55" s="2536" t="s">
        <v>2093</v>
      </c>
      <c r="BH55" s="2535">
        <v>130</v>
      </c>
      <c r="BI55" s="2530">
        <v>170</v>
      </c>
      <c r="BJ55" s="2530">
        <v>215</v>
      </c>
      <c r="BK55" s="2530">
        <v>215</v>
      </c>
      <c r="BL55" s="2530">
        <v>215</v>
      </c>
      <c r="BM55" s="2509"/>
      <c r="BN55" s="2392"/>
      <c r="BO55" s="760"/>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row>
    <row r="56" spans="1:258" ht="24.75" customHeight="1">
      <c r="A56" s="760"/>
      <c r="C56" s="2772" t="s">
        <v>1904</v>
      </c>
      <c r="D56" s="2773"/>
      <c r="E56" s="2747" t="s">
        <v>1049</v>
      </c>
      <c r="F56" s="2775">
        <v>50</v>
      </c>
      <c r="G56" s="2776" t="s">
        <v>1053</v>
      </c>
      <c r="H56" s="2775">
        <v>65</v>
      </c>
      <c r="I56" s="2776" t="s">
        <v>1054</v>
      </c>
      <c r="J56" s="2775">
        <v>80</v>
      </c>
      <c r="K56" s="2776" t="s">
        <v>1905</v>
      </c>
      <c r="L56" s="2777">
        <v>85</v>
      </c>
      <c r="M56" s="2776" t="s">
        <v>1055</v>
      </c>
      <c r="N56" s="2778">
        <v>90</v>
      </c>
      <c r="O56" s="2697">
        <v>60</v>
      </c>
      <c r="P56" s="2698">
        <v>70</v>
      </c>
      <c r="Q56" s="2779">
        <v>100</v>
      </c>
      <c r="R56" s="2779">
        <v>80</v>
      </c>
      <c r="S56" s="2780">
        <v>60</v>
      </c>
      <c r="T56" s="2780">
        <v>65</v>
      </c>
      <c r="U56" s="2780">
        <v>75</v>
      </c>
      <c r="V56" s="2781" t="s">
        <v>1007</v>
      </c>
      <c r="W56" s="2538" t="s">
        <v>1008</v>
      </c>
      <c r="X56" s="2782">
        <v>300</v>
      </c>
      <c r="Y56" s="2782">
        <v>250</v>
      </c>
      <c r="Z56" s="2783">
        <v>180</v>
      </c>
      <c r="AA56" s="2783">
        <v>200</v>
      </c>
      <c r="AB56" s="2783">
        <v>230</v>
      </c>
      <c r="AC56" s="2784" t="s">
        <v>1869</v>
      </c>
      <c r="AD56" s="2696" t="s">
        <v>1008</v>
      </c>
      <c r="AE56" s="1012"/>
      <c r="AF56" s="1012"/>
      <c r="AG56" s="1012"/>
      <c r="AH56" s="1012"/>
      <c r="AI56" s="1012"/>
      <c r="AJ56" s="1012"/>
      <c r="AK56" s="1012"/>
      <c r="AL56" s="760"/>
      <c r="AM56" s="760"/>
      <c r="AN56" s="760"/>
      <c r="AO56" s="2536" t="s">
        <v>2094</v>
      </c>
      <c r="AP56" s="2533">
        <v>120</v>
      </c>
      <c r="AQ56" s="2528">
        <v>120</v>
      </c>
      <c r="AR56" s="2533">
        <v>120</v>
      </c>
      <c r="AS56" s="2526">
        <v>145</v>
      </c>
      <c r="AT56" s="2533">
        <v>150</v>
      </c>
      <c r="AU56" s="2533">
        <v>150</v>
      </c>
      <c r="AV56" s="2533">
        <v>150</v>
      </c>
      <c r="AW56" s="2534"/>
      <c r="AX56" s="2534"/>
      <c r="AY56" s="2525"/>
      <c r="AZ56" s="2536" t="s">
        <v>2094</v>
      </c>
      <c r="BA56" s="2531">
        <v>80</v>
      </c>
      <c r="BB56" s="2531">
        <v>80</v>
      </c>
      <c r="BC56" s="2531">
        <v>90</v>
      </c>
      <c r="BD56" s="2531">
        <v>90</v>
      </c>
      <c r="BE56" s="2531">
        <v>90</v>
      </c>
      <c r="BF56" s="2525"/>
      <c r="BG56" s="2536" t="s">
        <v>2094</v>
      </c>
      <c r="BH56" s="2530">
        <v>205</v>
      </c>
      <c r="BI56" s="2530">
        <v>205</v>
      </c>
      <c r="BJ56" s="2530">
        <v>260</v>
      </c>
      <c r="BK56" s="2530">
        <v>260</v>
      </c>
      <c r="BL56" s="2530">
        <v>260</v>
      </c>
      <c r="BM56" s="2509"/>
      <c r="BN56" s="2392"/>
      <c r="BO56" s="760"/>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row>
    <row r="57" spans="1:258" ht="18.75" customHeight="1">
      <c r="A57" s="760"/>
      <c r="C57" s="2772" t="s">
        <v>2131</v>
      </c>
      <c r="D57" s="2773"/>
      <c r="E57" s="2747" t="s">
        <v>1063</v>
      </c>
      <c r="F57" s="2775">
        <v>110</v>
      </c>
      <c r="G57" s="2776" t="s">
        <v>1064</v>
      </c>
      <c r="H57" s="2775">
        <v>155</v>
      </c>
      <c r="I57" s="2776" t="s">
        <v>1065</v>
      </c>
      <c r="J57" s="2775">
        <v>180</v>
      </c>
      <c r="K57" s="2776"/>
      <c r="L57" s="2777">
        <v>180</v>
      </c>
      <c r="M57" s="2776"/>
      <c r="N57" s="2778">
        <v>180</v>
      </c>
      <c r="O57" s="2697">
        <v>140</v>
      </c>
      <c r="P57" s="2698">
        <v>150</v>
      </c>
      <c r="Q57" s="2779">
        <v>130</v>
      </c>
      <c r="R57" s="2779">
        <v>105</v>
      </c>
      <c r="S57" s="2780">
        <v>75</v>
      </c>
      <c r="T57" s="2780">
        <v>85</v>
      </c>
      <c r="U57" s="2780">
        <v>100</v>
      </c>
      <c r="V57" s="2781" t="s">
        <v>1007</v>
      </c>
      <c r="W57" s="2538" t="s">
        <v>1008</v>
      </c>
      <c r="X57" s="2782">
        <v>480</v>
      </c>
      <c r="Y57" s="2782">
        <v>400</v>
      </c>
      <c r="Z57" s="2783">
        <v>290</v>
      </c>
      <c r="AA57" s="2783">
        <v>320</v>
      </c>
      <c r="AB57" s="2783">
        <v>370</v>
      </c>
      <c r="AC57" s="2784" t="s">
        <v>1869</v>
      </c>
      <c r="AD57" s="2696" t="s">
        <v>1008</v>
      </c>
      <c r="AE57" s="1012"/>
      <c r="AF57" s="1012"/>
      <c r="AG57" s="1012"/>
      <c r="AH57" s="1012"/>
      <c r="AI57" s="1012"/>
      <c r="AJ57" s="1012"/>
      <c r="AK57" s="1012"/>
      <c r="AL57" s="760"/>
      <c r="AM57" s="1108"/>
      <c r="AN57" s="1108"/>
      <c r="AO57" s="2536" t="s">
        <v>2095</v>
      </c>
      <c r="AP57" s="2533">
        <v>160</v>
      </c>
      <c r="AQ57" s="2528">
        <v>160</v>
      </c>
      <c r="AR57" s="2533">
        <v>160</v>
      </c>
      <c r="AS57" s="2526">
        <v>160</v>
      </c>
      <c r="AT57" s="2533">
        <v>180</v>
      </c>
      <c r="AU57" s="2533">
        <v>180</v>
      </c>
      <c r="AV57" s="2533">
        <v>180</v>
      </c>
      <c r="AW57" s="2534"/>
      <c r="AX57" s="2534"/>
      <c r="AY57" s="2525"/>
      <c r="AZ57" s="2536" t="s">
        <v>2095</v>
      </c>
      <c r="BA57" s="2531">
        <v>85</v>
      </c>
      <c r="BB57" s="2531">
        <v>85</v>
      </c>
      <c r="BC57" s="2531">
        <v>105</v>
      </c>
      <c r="BD57" s="2531">
        <v>105</v>
      </c>
      <c r="BE57" s="2531">
        <v>105</v>
      </c>
      <c r="BF57" s="2525"/>
      <c r="BG57" s="2536" t="s">
        <v>2095</v>
      </c>
      <c r="BH57" s="2530">
        <v>230</v>
      </c>
      <c r="BI57" s="2530">
        <v>230</v>
      </c>
      <c r="BJ57" s="2530">
        <v>300</v>
      </c>
      <c r="BK57" s="2530">
        <v>300</v>
      </c>
      <c r="BL57" s="2530">
        <v>300</v>
      </c>
      <c r="BM57" s="2509"/>
      <c r="BN57" s="2392"/>
      <c r="BO57" s="760"/>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row>
    <row r="58" spans="1:258" ht="18.75" customHeight="1">
      <c r="A58" s="760"/>
      <c r="C58" s="2700" t="s">
        <v>963</v>
      </c>
      <c r="D58" s="2785"/>
      <c r="E58" s="2747" t="s">
        <v>1039</v>
      </c>
      <c r="F58" s="2775">
        <v>110</v>
      </c>
      <c r="G58" s="2776" t="s">
        <v>1061</v>
      </c>
      <c r="H58" s="2775">
        <v>155</v>
      </c>
      <c r="I58" s="2776" t="s">
        <v>1887</v>
      </c>
      <c r="J58" s="2775">
        <v>180</v>
      </c>
      <c r="K58" s="2776" t="s">
        <v>1888</v>
      </c>
      <c r="L58" s="2777">
        <v>195</v>
      </c>
      <c r="M58" s="2776" t="s">
        <v>1889</v>
      </c>
      <c r="N58" s="2778">
        <v>210</v>
      </c>
      <c r="O58" s="2697">
        <v>110</v>
      </c>
      <c r="P58" s="2698">
        <v>130</v>
      </c>
      <c r="Q58" s="2779">
        <v>130</v>
      </c>
      <c r="R58" s="2779">
        <v>105</v>
      </c>
      <c r="S58" s="2780">
        <v>75</v>
      </c>
      <c r="T58" s="2780">
        <v>85</v>
      </c>
      <c r="U58" s="2780">
        <v>100</v>
      </c>
      <c r="V58" s="2781" t="s">
        <v>1007</v>
      </c>
      <c r="W58" s="2538" t="s">
        <v>1008</v>
      </c>
      <c r="X58" s="2782">
        <v>480</v>
      </c>
      <c r="Y58" s="2782">
        <v>400</v>
      </c>
      <c r="Z58" s="2783">
        <v>290</v>
      </c>
      <c r="AA58" s="2783">
        <v>320</v>
      </c>
      <c r="AB58" s="2783">
        <v>370</v>
      </c>
      <c r="AC58" s="2784" t="s">
        <v>1869</v>
      </c>
      <c r="AD58" s="2696" t="s">
        <v>1008</v>
      </c>
      <c r="AE58" s="1012"/>
      <c r="AF58" s="1012"/>
      <c r="AG58" s="1012"/>
      <c r="AH58" s="1012"/>
      <c r="AI58" s="1012"/>
      <c r="AJ58" s="1012"/>
      <c r="AK58" s="1012"/>
      <c r="AL58" s="760"/>
      <c r="AM58" s="1108"/>
      <c r="AN58" s="1108"/>
      <c r="AO58" s="2536" t="s">
        <v>2096</v>
      </c>
      <c r="AP58" s="2533">
        <v>210</v>
      </c>
      <c r="AQ58" s="2528">
        <v>160</v>
      </c>
      <c r="AR58" s="2533">
        <v>210</v>
      </c>
      <c r="AS58" s="2526">
        <v>160</v>
      </c>
      <c r="AT58" s="2533">
        <v>210</v>
      </c>
      <c r="AU58" s="2533">
        <v>210</v>
      </c>
      <c r="AV58" s="2533">
        <v>210</v>
      </c>
      <c r="AW58" s="2534"/>
      <c r="AX58" s="2534"/>
      <c r="AY58" s="2525"/>
      <c r="AZ58" s="2536" t="s">
        <v>2096</v>
      </c>
      <c r="BA58" s="2531">
        <v>120</v>
      </c>
      <c r="BB58" s="2531">
        <v>120</v>
      </c>
      <c r="BC58" s="2531">
        <v>120</v>
      </c>
      <c r="BD58" s="2531">
        <v>120</v>
      </c>
      <c r="BE58" s="2531">
        <v>120</v>
      </c>
      <c r="BF58" s="2525"/>
      <c r="BG58" s="2536" t="s">
        <v>2096</v>
      </c>
      <c r="BH58" s="2530">
        <v>340</v>
      </c>
      <c r="BI58" s="2530">
        <v>340</v>
      </c>
      <c r="BJ58" s="2530">
        <v>340</v>
      </c>
      <c r="BK58" s="2530">
        <v>340</v>
      </c>
      <c r="BL58" s="2530">
        <v>340</v>
      </c>
      <c r="BM58" s="2509"/>
      <c r="BN58" s="2392"/>
      <c r="BO58" s="760"/>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row>
    <row r="59" spans="1:258" ht="18.75" customHeight="1">
      <c r="A59" s="760"/>
      <c r="C59" s="2772" t="s">
        <v>2107</v>
      </c>
      <c r="D59" s="2773"/>
      <c r="E59" s="2747" t="s">
        <v>1068</v>
      </c>
      <c r="F59" s="2775">
        <v>90</v>
      </c>
      <c r="G59" s="2776" t="s">
        <v>1069</v>
      </c>
      <c r="H59" s="2775">
        <v>120</v>
      </c>
      <c r="I59" s="2776" t="s">
        <v>1070</v>
      </c>
      <c r="J59" s="2775">
        <v>145</v>
      </c>
      <c r="K59" s="2776" t="s">
        <v>226</v>
      </c>
      <c r="L59" s="2777">
        <v>145</v>
      </c>
      <c r="M59" s="2776" t="s">
        <v>226</v>
      </c>
      <c r="N59" s="2778">
        <v>145</v>
      </c>
      <c r="O59" s="2697">
        <v>110</v>
      </c>
      <c r="P59" s="2698">
        <v>125</v>
      </c>
      <c r="Q59" s="2779">
        <v>90</v>
      </c>
      <c r="R59" s="2779">
        <v>75</v>
      </c>
      <c r="S59" s="2780">
        <v>55</v>
      </c>
      <c r="T59" s="2780">
        <v>60</v>
      </c>
      <c r="U59" s="2780">
        <v>70</v>
      </c>
      <c r="V59" s="2781" t="s">
        <v>1007</v>
      </c>
      <c r="W59" s="2538" t="s">
        <v>1008</v>
      </c>
      <c r="X59" s="2782">
        <v>270</v>
      </c>
      <c r="Y59" s="2782">
        <v>225</v>
      </c>
      <c r="Z59" s="2783">
        <v>160</v>
      </c>
      <c r="AA59" s="2783">
        <v>180</v>
      </c>
      <c r="AB59" s="2783">
        <v>205</v>
      </c>
      <c r="AC59" s="2784" t="s">
        <v>1869</v>
      </c>
      <c r="AD59" s="2696" t="s">
        <v>1008</v>
      </c>
      <c r="AE59" s="1012"/>
      <c r="AF59" s="1012"/>
      <c r="AG59" s="1012"/>
      <c r="AH59" s="1012"/>
      <c r="AI59" s="1012"/>
      <c r="AJ59" s="1012"/>
      <c r="AK59" s="1012"/>
      <c r="AL59" s="760"/>
      <c r="AM59" s="1108"/>
      <c r="AN59" s="1108"/>
      <c r="AO59" s="2536" t="s">
        <v>1980</v>
      </c>
      <c r="AP59" s="2533">
        <v>15</v>
      </c>
      <c r="AQ59" s="2528">
        <v>0</v>
      </c>
      <c r="AR59" s="2533">
        <v>25</v>
      </c>
      <c r="AS59" s="2526">
        <v>0</v>
      </c>
      <c r="AT59" s="2533">
        <v>25</v>
      </c>
      <c r="AU59" s="2533">
        <v>25</v>
      </c>
      <c r="AV59" s="2533">
        <v>25</v>
      </c>
      <c r="AW59" s="2534"/>
      <c r="AX59" s="2534"/>
      <c r="AY59" s="2525"/>
      <c r="AZ59" s="2536" t="s">
        <v>1980</v>
      </c>
      <c r="BA59" s="2531">
        <v>15</v>
      </c>
      <c r="BB59" s="2531">
        <v>30</v>
      </c>
      <c r="BC59" s="2531">
        <v>30</v>
      </c>
      <c r="BD59" s="2531">
        <v>30</v>
      </c>
      <c r="BE59" s="2531">
        <v>30</v>
      </c>
      <c r="BF59" s="2525"/>
      <c r="BG59" s="2536" t="s">
        <v>1980</v>
      </c>
      <c r="BH59" s="2535">
        <v>45</v>
      </c>
      <c r="BI59" s="2530">
        <v>80</v>
      </c>
      <c r="BJ59" s="2530">
        <v>80</v>
      </c>
      <c r="BK59" s="2530">
        <v>80</v>
      </c>
      <c r="BL59" s="2530">
        <v>80</v>
      </c>
      <c r="BM59" s="2509"/>
      <c r="BN59" s="2392"/>
      <c r="BO59" s="760"/>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row>
    <row r="60" spans="1:258" ht="18.75" customHeight="1">
      <c r="A60" s="760"/>
      <c r="C60" s="2700" t="s">
        <v>1978</v>
      </c>
      <c r="D60" s="2785"/>
      <c r="E60" s="2747" t="s">
        <v>1165</v>
      </c>
      <c r="F60" s="2775">
        <v>120</v>
      </c>
      <c r="G60" s="2776" t="s">
        <v>1236</v>
      </c>
      <c r="H60" s="2775">
        <v>165</v>
      </c>
      <c r="I60" s="2776" t="s">
        <v>1059</v>
      </c>
      <c r="J60" s="2775">
        <v>195</v>
      </c>
      <c r="K60" s="2776" t="s">
        <v>2108</v>
      </c>
      <c r="L60" s="2777">
        <v>210</v>
      </c>
      <c r="M60" s="2776" t="s">
        <v>1067</v>
      </c>
      <c r="N60" s="2778">
        <v>225</v>
      </c>
      <c r="O60" s="2697">
        <v>130</v>
      </c>
      <c r="P60" s="2698">
        <v>150</v>
      </c>
      <c r="Q60" s="2779">
        <v>100</v>
      </c>
      <c r="R60" s="2779">
        <v>80</v>
      </c>
      <c r="S60" s="2780">
        <v>60</v>
      </c>
      <c r="T60" s="2780">
        <v>65</v>
      </c>
      <c r="U60" s="2780">
        <v>75</v>
      </c>
      <c r="V60" s="2781" t="s">
        <v>1007</v>
      </c>
      <c r="W60" s="2538" t="s">
        <v>1008</v>
      </c>
      <c r="X60" s="2782">
        <v>300</v>
      </c>
      <c r="Y60" s="2782">
        <v>250</v>
      </c>
      <c r="Z60" s="2783">
        <v>180</v>
      </c>
      <c r="AA60" s="2783">
        <v>200</v>
      </c>
      <c r="AB60" s="2783">
        <v>230</v>
      </c>
      <c r="AC60" s="2784" t="s">
        <v>1869</v>
      </c>
      <c r="AD60" s="2696" t="s">
        <v>1008</v>
      </c>
      <c r="AE60" s="1012"/>
      <c r="AF60" s="1012"/>
      <c r="AG60" s="1012"/>
      <c r="AH60" s="1012"/>
      <c r="AI60" s="1012"/>
      <c r="AJ60" s="1012"/>
      <c r="AK60" s="1012"/>
      <c r="AL60" s="760"/>
      <c r="AM60" s="1108"/>
      <c r="AN60" s="1108"/>
      <c r="AO60" s="2536" t="s">
        <v>1981</v>
      </c>
      <c r="AP60" s="2533">
        <v>40</v>
      </c>
      <c r="AQ60" s="2528">
        <v>0</v>
      </c>
      <c r="AR60" s="2533">
        <v>40</v>
      </c>
      <c r="AS60" s="2526">
        <v>0</v>
      </c>
      <c r="AT60" s="2533">
        <v>40</v>
      </c>
      <c r="AU60" s="2533">
        <v>40</v>
      </c>
      <c r="AV60" s="2533">
        <v>40</v>
      </c>
      <c r="AW60" s="2534"/>
      <c r="AX60" s="2534"/>
      <c r="AY60" s="2525"/>
      <c r="AZ60" s="2536" t="s">
        <v>1981</v>
      </c>
      <c r="BA60" s="2531">
        <v>30</v>
      </c>
      <c r="BB60" s="2531">
        <v>45</v>
      </c>
      <c r="BC60" s="2531">
        <v>45</v>
      </c>
      <c r="BD60" s="2531">
        <v>45</v>
      </c>
      <c r="BE60" s="2531">
        <v>45</v>
      </c>
      <c r="BF60" s="2525"/>
      <c r="BG60" s="2536" t="s">
        <v>1981</v>
      </c>
      <c r="BH60" s="2535">
        <v>80</v>
      </c>
      <c r="BI60" s="2530">
        <v>120</v>
      </c>
      <c r="BJ60" s="2530">
        <v>120</v>
      </c>
      <c r="BK60" s="2530">
        <v>120</v>
      </c>
      <c r="BL60" s="2530">
        <v>120</v>
      </c>
      <c r="BM60" s="2509"/>
      <c r="BN60" s="2392"/>
      <c r="BO60" s="7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row>
    <row r="61" spans="1:258" ht="18.75" customHeight="1">
      <c r="A61" s="760"/>
      <c r="C61" s="2772" t="s">
        <v>1906</v>
      </c>
      <c r="D61" s="2773"/>
      <c r="E61" s="2747" t="s">
        <v>1907</v>
      </c>
      <c r="F61" s="2775">
        <v>100</v>
      </c>
      <c r="G61" s="2786" t="s">
        <v>2137</v>
      </c>
      <c r="H61" s="2775">
        <v>100</v>
      </c>
      <c r="I61" s="2776" t="s">
        <v>1908</v>
      </c>
      <c r="J61" s="2775">
        <v>120</v>
      </c>
      <c r="K61" s="2776"/>
      <c r="L61" s="2777">
        <v>120</v>
      </c>
      <c r="M61" s="2776"/>
      <c r="N61" s="2778">
        <v>120</v>
      </c>
      <c r="O61" s="2697">
        <v>100</v>
      </c>
      <c r="P61" s="2698">
        <v>120</v>
      </c>
      <c r="Q61" s="2779">
        <v>70</v>
      </c>
      <c r="R61" s="2779">
        <v>55</v>
      </c>
      <c r="S61" s="2780">
        <v>30</v>
      </c>
      <c r="T61" s="2780">
        <v>35</v>
      </c>
      <c r="U61" s="2780">
        <v>40</v>
      </c>
      <c r="V61" s="2781">
        <v>20</v>
      </c>
      <c r="W61" s="2538" t="s">
        <v>226</v>
      </c>
      <c r="X61" s="2782">
        <v>195</v>
      </c>
      <c r="Y61" s="2782">
        <v>165</v>
      </c>
      <c r="Z61" s="2783">
        <v>115</v>
      </c>
      <c r="AA61" s="2783">
        <v>130</v>
      </c>
      <c r="AB61" s="2783">
        <v>150</v>
      </c>
      <c r="AC61" s="2784" t="s">
        <v>1869</v>
      </c>
      <c r="AD61" s="2696" t="s">
        <v>226</v>
      </c>
      <c r="AE61" s="1012"/>
      <c r="AF61" s="1012"/>
      <c r="AG61" s="1012"/>
      <c r="AH61" s="1012"/>
      <c r="AI61" s="1012"/>
      <c r="AJ61" s="1012"/>
      <c r="AK61" s="1012"/>
      <c r="AL61" s="760"/>
      <c r="AM61" s="1108"/>
      <c r="AN61" s="1108"/>
      <c r="AO61" s="2536" t="s">
        <v>1982</v>
      </c>
      <c r="AP61" s="2533">
        <v>40</v>
      </c>
      <c r="AQ61" s="2528">
        <v>0</v>
      </c>
      <c r="AR61" s="2533">
        <v>40</v>
      </c>
      <c r="AS61" s="2526">
        <v>0</v>
      </c>
      <c r="AT61" s="2533">
        <v>40</v>
      </c>
      <c r="AU61" s="2533">
        <v>40</v>
      </c>
      <c r="AV61" s="2533">
        <v>40</v>
      </c>
      <c r="AW61" s="2534"/>
      <c r="AX61" s="2534"/>
      <c r="AY61" s="2525"/>
      <c r="AZ61" s="2536" t="s">
        <v>1982</v>
      </c>
      <c r="BA61" s="2531">
        <v>45</v>
      </c>
      <c r="BB61" s="2531">
        <v>65</v>
      </c>
      <c r="BC61" s="2531">
        <v>80</v>
      </c>
      <c r="BD61" s="2531">
        <v>80</v>
      </c>
      <c r="BE61" s="2531">
        <v>80</v>
      </c>
      <c r="BF61" s="2525"/>
      <c r="BG61" s="2536" t="s">
        <v>1982</v>
      </c>
      <c r="BH61" s="2535">
        <v>130</v>
      </c>
      <c r="BI61" s="2530">
        <v>170</v>
      </c>
      <c r="BJ61" s="2530">
        <v>215</v>
      </c>
      <c r="BK61" s="2530">
        <v>215</v>
      </c>
      <c r="BL61" s="2530">
        <v>215</v>
      </c>
      <c r="BM61" s="2509"/>
      <c r="BN61" s="2392"/>
      <c r="BO61" s="760"/>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row>
    <row r="62" spans="1:258" ht="18.75" customHeight="1">
      <c r="A62" s="760"/>
      <c r="C62" s="2772" t="s">
        <v>984</v>
      </c>
      <c r="D62" s="2773"/>
      <c r="E62" s="2747" t="s">
        <v>1051</v>
      </c>
      <c r="F62" s="2775">
        <v>95</v>
      </c>
      <c r="G62" s="2776" t="s">
        <v>2109</v>
      </c>
      <c r="H62" s="2775">
        <v>130</v>
      </c>
      <c r="I62" s="2776" t="s">
        <v>2110</v>
      </c>
      <c r="J62" s="2775">
        <v>155</v>
      </c>
      <c r="K62" s="2776" t="s">
        <v>1052</v>
      </c>
      <c r="L62" s="2777">
        <v>170</v>
      </c>
      <c r="M62" s="2776" t="s">
        <v>2111</v>
      </c>
      <c r="N62" s="2778">
        <v>180</v>
      </c>
      <c r="O62" s="2697">
        <v>110</v>
      </c>
      <c r="P62" s="2698">
        <v>110</v>
      </c>
      <c r="Q62" s="2779">
        <v>90</v>
      </c>
      <c r="R62" s="2779">
        <v>75</v>
      </c>
      <c r="S62" s="2780">
        <v>55</v>
      </c>
      <c r="T62" s="2780">
        <v>60</v>
      </c>
      <c r="U62" s="2780">
        <v>70</v>
      </c>
      <c r="V62" s="2781" t="s">
        <v>1007</v>
      </c>
      <c r="W62" s="2538" t="s">
        <v>1008</v>
      </c>
      <c r="X62" s="2782">
        <v>120</v>
      </c>
      <c r="Y62" s="2782">
        <v>100</v>
      </c>
      <c r="Z62" s="2783">
        <v>70</v>
      </c>
      <c r="AA62" s="2783">
        <v>80</v>
      </c>
      <c r="AB62" s="2783">
        <v>90</v>
      </c>
      <c r="AC62" s="2784" t="s">
        <v>1869</v>
      </c>
      <c r="AD62" s="2696" t="s">
        <v>1008</v>
      </c>
      <c r="AE62" s="1012"/>
      <c r="AF62" s="1012"/>
      <c r="AG62" s="1012"/>
      <c r="AH62" s="1012"/>
      <c r="AI62" s="1012"/>
      <c r="AJ62" s="1012"/>
      <c r="AK62" s="1012"/>
      <c r="AL62" s="760"/>
      <c r="AM62" s="1108"/>
      <c r="AN62" s="1108"/>
      <c r="AO62" s="2536" t="s">
        <v>1983</v>
      </c>
      <c r="AP62" s="2533">
        <v>40</v>
      </c>
      <c r="AQ62" s="2528">
        <v>0</v>
      </c>
      <c r="AR62" s="2533">
        <v>40</v>
      </c>
      <c r="AS62" s="2526">
        <v>0</v>
      </c>
      <c r="AT62" s="2533">
        <v>40</v>
      </c>
      <c r="AU62" s="2533">
        <v>40</v>
      </c>
      <c r="AV62" s="2533">
        <v>40</v>
      </c>
      <c r="AW62" s="2534"/>
      <c r="AX62" s="2534"/>
      <c r="AY62" s="2525"/>
      <c r="AZ62" s="2536" t="s">
        <v>1983</v>
      </c>
      <c r="BA62" s="2531">
        <v>80</v>
      </c>
      <c r="BB62" s="2531">
        <v>80</v>
      </c>
      <c r="BC62" s="2531">
        <v>90</v>
      </c>
      <c r="BD62" s="2531">
        <v>90</v>
      </c>
      <c r="BE62" s="2531">
        <v>90</v>
      </c>
      <c r="BF62" s="2525"/>
      <c r="BG62" s="2536" t="s">
        <v>1983</v>
      </c>
      <c r="BH62" s="2530">
        <v>205</v>
      </c>
      <c r="BI62" s="2530">
        <v>205</v>
      </c>
      <c r="BJ62" s="2530">
        <v>260</v>
      </c>
      <c r="BK62" s="2530">
        <v>260</v>
      </c>
      <c r="BL62" s="2530">
        <v>260</v>
      </c>
      <c r="BM62" s="2509"/>
      <c r="BN62" s="2392"/>
      <c r="BO62" s="760"/>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row>
    <row r="63" spans="1:258" ht="18.75" customHeight="1">
      <c r="A63" s="760"/>
      <c r="C63" s="2772" t="s">
        <v>985</v>
      </c>
      <c r="D63" s="2773"/>
      <c r="E63" s="2747" t="s">
        <v>1073</v>
      </c>
      <c r="F63" s="2775">
        <v>65</v>
      </c>
      <c r="G63" s="2776" t="s">
        <v>1074</v>
      </c>
      <c r="H63" s="2775">
        <v>90</v>
      </c>
      <c r="I63" s="2776" t="s">
        <v>2112</v>
      </c>
      <c r="J63" s="2775">
        <v>105</v>
      </c>
      <c r="K63" s="2776" t="s">
        <v>2113</v>
      </c>
      <c r="L63" s="2777">
        <v>110</v>
      </c>
      <c r="M63" s="2776" t="s">
        <v>2114</v>
      </c>
      <c r="N63" s="2778">
        <v>120</v>
      </c>
      <c r="O63" s="2697">
        <v>70</v>
      </c>
      <c r="P63" s="2698">
        <v>70</v>
      </c>
      <c r="Q63" s="2779">
        <v>85</v>
      </c>
      <c r="R63" s="2779">
        <v>70</v>
      </c>
      <c r="S63" s="2780">
        <v>50</v>
      </c>
      <c r="T63" s="2780">
        <v>55</v>
      </c>
      <c r="U63" s="2780">
        <v>65</v>
      </c>
      <c r="V63" s="2781" t="s">
        <v>1007</v>
      </c>
      <c r="W63" s="2538" t="s">
        <v>1008</v>
      </c>
      <c r="X63" s="2782">
        <v>150</v>
      </c>
      <c r="Y63" s="2782">
        <v>125</v>
      </c>
      <c r="Z63" s="2783">
        <v>90</v>
      </c>
      <c r="AA63" s="2783">
        <v>100</v>
      </c>
      <c r="AB63" s="2783">
        <v>115</v>
      </c>
      <c r="AC63" s="2784" t="s">
        <v>1869</v>
      </c>
      <c r="AD63" s="2696" t="s">
        <v>1008</v>
      </c>
      <c r="AE63" s="1012"/>
      <c r="AF63" s="1012"/>
      <c r="AG63" s="1012"/>
      <c r="AH63" s="1012"/>
      <c r="AI63" s="1012"/>
      <c r="AJ63" s="1012"/>
      <c r="AK63" s="1012"/>
      <c r="AL63" s="760"/>
      <c r="AM63" s="1108"/>
      <c r="AN63" s="1108"/>
      <c r="AO63" s="2536" t="s">
        <v>1984</v>
      </c>
      <c r="AP63" s="2533">
        <v>40</v>
      </c>
      <c r="AQ63" s="2528">
        <v>0</v>
      </c>
      <c r="AR63" s="2533">
        <v>40</v>
      </c>
      <c r="AS63" s="2526">
        <v>0</v>
      </c>
      <c r="AT63" s="2533">
        <v>40</v>
      </c>
      <c r="AU63" s="2533">
        <v>40</v>
      </c>
      <c r="AV63" s="2533">
        <v>40</v>
      </c>
      <c r="AW63" s="2534"/>
      <c r="AX63" s="2534"/>
      <c r="AY63" s="2525"/>
      <c r="AZ63" s="2536" t="s">
        <v>1984</v>
      </c>
      <c r="BA63" s="2531">
        <v>85</v>
      </c>
      <c r="BB63" s="2531">
        <v>85</v>
      </c>
      <c r="BC63" s="2531">
        <v>105</v>
      </c>
      <c r="BD63" s="2531">
        <v>105</v>
      </c>
      <c r="BE63" s="2531">
        <v>105</v>
      </c>
      <c r="BF63" s="2525"/>
      <c r="BG63" s="2536" t="s">
        <v>1984</v>
      </c>
      <c r="BH63" s="2530">
        <v>230</v>
      </c>
      <c r="BI63" s="2530">
        <v>230</v>
      </c>
      <c r="BJ63" s="2530">
        <v>300</v>
      </c>
      <c r="BK63" s="2530">
        <v>300</v>
      </c>
      <c r="BL63" s="2530">
        <v>300</v>
      </c>
      <c r="BM63" s="2509"/>
      <c r="BN63" s="2392"/>
      <c r="BO63" s="760"/>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row>
    <row r="64" spans="1:258" ht="18.75" customHeight="1" thickBot="1">
      <c r="A64" s="760"/>
      <c r="C64" s="2787" t="s">
        <v>986</v>
      </c>
      <c r="D64" s="2788"/>
      <c r="E64" s="2789" t="s">
        <v>2115</v>
      </c>
      <c r="F64" s="2790">
        <v>65</v>
      </c>
      <c r="G64" s="2791" t="s">
        <v>1074</v>
      </c>
      <c r="H64" s="2790">
        <v>90</v>
      </c>
      <c r="I64" s="2791" t="s">
        <v>2116</v>
      </c>
      <c r="J64" s="2790">
        <v>105</v>
      </c>
      <c r="K64" s="2791" t="s">
        <v>2116</v>
      </c>
      <c r="L64" s="2792">
        <v>105</v>
      </c>
      <c r="M64" s="2791" t="s">
        <v>2116</v>
      </c>
      <c r="N64" s="2793">
        <v>105</v>
      </c>
      <c r="O64" s="2794">
        <v>80</v>
      </c>
      <c r="P64" s="2795">
        <v>100</v>
      </c>
      <c r="Q64" s="2796">
        <v>75</v>
      </c>
      <c r="R64" s="2797">
        <v>65</v>
      </c>
      <c r="S64" s="2798">
        <v>45</v>
      </c>
      <c r="T64" s="2798">
        <v>50</v>
      </c>
      <c r="U64" s="2798">
        <v>65</v>
      </c>
      <c r="V64" s="2799" t="s">
        <v>1007</v>
      </c>
      <c r="W64" s="2800" t="s">
        <v>1008</v>
      </c>
      <c r="X64" s="2801">
        <v>270</v>
      </c>
      <c r="Y64" s="2801">
        <v>225</v>
      </c>
      <c r="Z64" s="2802">
        <v>160</v>
      </c>
      <c r="AA64" s="2802">
        <v>180</v>
      </c>
      <c r="AB64" s="2802">
        <v>205</v>
      </c>
      <c r="AC64" s="2803" t="s">
        <v>1869</v>
      </c>
      <c r="AD64" s="2804" t="s">
        <v>1008</v>
      </c>
      <c r="AE64" s="1012"/>
      <c r="AF64" s="1012"/>
      <c r="AG64" s="1012"/>
      <c r="AH64" s="1012"/>
      <c r="AI64" s="1012"/>
      <c r="AJ64" s="1012"/>
      <c r="AK64" s="1012"/>
      <c r="AL64" s="760"/>
      <c r="AM64" s="1108"/>
      <c r="AN64" s="1108"/>
      <c r="AO64" s="2536" t="s">
        <v>1985</v>
      </c>
      <c r="AP64" s="2533">
        <v>40</v>
      </c>
      <c r="AQ64" s="2528">
        <v>0</v>
      </c>
      <c r="AR64" s="2533">
        <v>40</v>
      </c>
      <c r="AS64" s="2526">
        <v>0</v>
      </c>
      <c r="AT64" s="2533">
        <v>40</v>
      </c>
      <c r="AU64" s="2533">
        <v>40</v>
      </c>
      <c r="AV64" s="2533">
        <v>40</v>
      </c>
      <c r="AW64" s="2534"/>
      <c r="AX64" s="2534"/>
      <c r="AY64" s="2525"/>
      <c r="AZ64" s="2536" t="s">
        <v>1985</v>
      </c>
      <c r="BA64" s="2531">
        <v>120</v>
      </c>
      <c r="BB64" s="2531">
        <v>120</v>
      </c>
      <c r="BC64" s="2531">
        <v>120</v>
      </c>
      <c r="BD64" s="2531">
        <v>120</v>
      </c>
      <c r="BE64" s="2531">
        <v>120</v>
      </c>
      <c r="BF64" s="2525"/>
      <c r="BG64" s="2536" t="s">
        <v>1985</v>
      </c>
      <c r="BH64" s="2530">
        <v>340</v>
      </c>
      <c r="BI64" s="2530">
        <v>340</v>
      </c>
      <c r="BJ64" s="2530">
        <v>340</v>
      </c>
      <c r="BK64" s="2530">
        <v>340</v>
      </c>
      <c r="BL64" s="2530">
        <v>340</v>
      </c>
      <c r="BM64" s="2509"/>
      <c r="BN64" s="2392"/>
      <c r="BO64" s="760"/>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row>
    <row r="65" spans="1:258" ht="9" customHeight="1" thickBot="1">
      <c r="A65" s="760"/>
      <c r="C65" s="2231"/>
      <c r="D65" s="1012"/>
      <c r="E65" s="1012"/>
      <c r="F65" s="1012"/>
      <c r="G65" s="1012"/>
      <c r="H65" s="1012"/>
      <c r="I65" s="1012"/>
      <c r="J65" s="1012"/>
      <c r="K65" s="1012"/>
      <c r="L65" s="1012"/>
      <c r="M65" s="1012"/>
      <c r="N65" s="1012"/>
      <c r="O65" s="1012"/>
      <c r="P65" s="1012"/>
      <c r="Q65" s="1012"/>
      <c r="R65" s="1012"/>
      <c r="S65" s="1012"/>
      <c r="T65" s="1012"/>
      <c r="U65" s="1012"/>
      <c r="V65" s="1012"/>
      <c r="W65" s="1012"/>
      <c r="X65" s="1012"/>
      <c r="Y65" s="1012"/>
      <c r="Z65" s="1012"/>
      <c r="AA65" s="1012"/>
      <c r="AB65" s="1012"/>
      <c r="AC65" s="1012"/>
      <c r="AD65" s="1012"/>
      <c r="AE65" s="1012"/>
      <c r="AF65" s="1012"/>
      <c r="AG65" s="1012"/>
      <c r="AH65" s="1012"/>
      <c r="AI65" s="1012"/>
      <c r="AJ65" s="1012"/>
      <c r="AK65" s="1012"/>
      <c r="AL65" s="760"/>
      <c r="AM65" s="1108"/>
      <c r="AN65" s="1108"/>
      <c r="AO65" s="2536" t="s">
        <v>2077</v>
      </c>
      <c r="AP65" s="2533">
        <v>80</v>
      </c>
      <c r="AQ65" s="2528"/>
      <c r="AR65" s="2533">
        <v>100</v>
      </c>
      <c r="AS65" s="2526"/>
      <c r="AT65" s="2533">
        <v>150</v>
      </c>
      <c r="AU65" s="2533">
        <v>150</v>
      </c>
      <c r="AV65" s="2533">
        <v>150</v>
      </c>
      <c r="AW65" s="2534"/>
      <c r="AX65" s="2534"/>
      <c r="AY65" s="2525"/>
      <c r="AZ65" s="2536" t="s">
        <v>2077</v>
      </c>
      <c r="BA65" s="2531">
        <v>40</v>
      </c>
      <c r="BB65" s="2531">
        <v>60</v>
      </c>
      <c r="BC65" s="2531">
        <v>60</v>
      </c>
      <c r="BD65" s="2531">
        <v>60</v>
      </c>
      <c r="BE65" s="2531">
        <v>60</v>
      </c>
      <c r="BF65" s="2525"/>
      <c r="BG65" s="2536" t="s">
        <v>2077</v>
      </c>
      <c r="BH65" s="2535">
        <v>70</v>
      </c>
      <c r="BI65" s="2530">
        <v>120</v>
      </c>
      <c r="BJ65" s="2530">
        <v>120</v>
      </c>
      <c r="BK65" s="2530">
        <v>120</v>
      </c>
      <c r="BL65" s="2530">
        <v>120</v>
      </c>
      <c r="BN65" s="2392"/>
      <c r="BO65" s="760"/>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row>
    <row r="66" spans="1:258" ht="36" customHeight="1" thickBot="1">
      <c r="A66" s="760"/>
      <c r="C66" s="2059" t="s">
        <v>2007</v>
      </c>
      <c r="D66" s="2060"/>
      <c r="E66" s="3054" t="s">
        <v>2022</v>
      </c>
      <c r="F66" s="3055"/>
      <c r="G66" s="3055"/>
      <c r="H66" s="3055"/>
      <c r="I66" s="3055"/>
      <c r="J66" s="3056"/>
      <c r="K66" s="3051" t="s">
        <v>1820</v>
      </c>
      <c r="L66" s="3052"/>
      <c r="M66" s="3057" t="s">
        <v>2026</v>
      </c>
      <c r="N66" s="3058"/>
      <c r="O66" s="3058"/>
      <c r="P66" s="3058"/>
      <c r="Q66" s="3058"/>
      <c r="R66" s="3058"/>
      <c r="S66" s="3058"/>
      <c r="T66" s="3058"/>
      <c r="U66" s="3058"/>
      <c r="V66" s="3059"/>
      <c r="W66" s="3060"/>
      <c r="X66" s="2982" t="s">
        <v>2027</v>
      </c>
      <c r="Y66" s="2983"/>
      <c r="Z66" s="2983"/>
      <c r="AA66" s="2983"/>
      <c r="AB66" s="2983"/>
      <c r="AC66" s="2983"/>
      <c r="AD66" s="2983"/>
      <c r="AE66" s="2983"/>
      <c r="AF66" s="2983"/>
      <c r="AG66" s="2983"/>
      <c r="AH66" s="2984"/>
      <c r="AI66" s="760"/>
      <c r="AJ66" s="760"/>
      <c r="AK66" s="760"/>
      <c r="AL66" s="760"/>
      <c r="AM66" s="1108"/>
      <c r="AN66" s="1108"/>
      <c r="AO66" s="2536" t="s">
        <v>2078</v>
      </c>
      <c r="AP66" s="2533">
        <v>90</v>
      </c>
      <c r="AQ66" s="2528"/>
      <c r="AR66" s="2533">
        <v>110</v>
      </c>
      <c r="AS66" s="2526"/>
      <c r="AT66" s="2533">
        <v>170</v>
      </c>
      <c r="AU66" s="2533">
        <v>170</v>
      </c>
      <c r="AV66" s="2533">
        <v>170</v>
      </c>
      <c r="AW66" s="2534"/>
      <c r="AX66" s="2534"/>
      <c r="AY66" s="2525"/>
      <c r="AZ66" s="2536" t="s">
        <v>2078</v>
      </c>
      <c r="BA66" s="2531">
        <v>60</v>
      </c>
      <c r="BB66" s="2531">
        <v>80</v>
      </c>
      <c r="BC66" s="2531">
        <v>100</v>
      </c>
      <c r="BD66" s="2531">
        <v>100</v>
      </c>
      <c r="BE66" s="2531">
        <v>100</v>
      </c>
      <c r="BF66" s="2525"/>
      <c r="BG66" s="2536" t="s">
        <v>2078</v>
      </c>
      <c r="BH66" s="2535">
        <v>80</v>
      </c>
      <c r="BI66" s="2530">
        <v>160</v>
      </c>
      <c r="BJ66" s="2530">
        <v>220</v>
      </c>
      <c r="BK66" s="2530">
        <v>220</v>
      </c>
      <c r="BL66" s="2530">
        <v>220</v>
      </c>
      <c r="BN66" s="2392"/>
      <c r="BO66" s="760"/>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row>
    <row r="67" spans="1:258" ht="18.75" customHeight="1" thickBot="1">
      <c r="A67" s="760"/>
      <c r="C67" s="2061" t="s">
        <v>1082</v>
      </c>
      <c r="D67" s="2062"/>
      <c r="E67" s="2945" t="s">
        <v>2023</v>
      </c>
      <c r="F67" s="2946"/>
      <c r="G67" s="2946"/>
      <c r="H67" s="2946"/>
      <c r="I67" s="2946"/>
      <c r="J67" s="2947"/>
      <c r="K67" s="3053"/>
      <c r="L67" s="3053"/>
      <c r="M67" s="2914" t="s">
        <v>990</v>
      </c>
      <c r="N67" s="2915"/>
      <c r="O67" s="2948"/>
      <c r="P67" s="2914" t="s">
        <v>991</v>
      </c>
      <c r="Q67" s="2915"/>
      <c r="R67" s="2948"/>
      <c r="S67" s="2949" t="s">
        <v>992</v>
      </c>
      <c r="T67" s="2950"/>
      <c r="U67" s="2951"/>
      <c r="V67" s="2494" t="s">
        <v>993</v>
      </c>
      <c r="W67" s="2495" t="s">
        <v>994</v>
      </c>
      <c r="X67" s="2932" t="s">
        <v>990</v>
      </c>
      <c r="Y67" s="2933"/>
      <c r="Z67" s="2934"/>
      <c r="AA67" s="2935" t="s">
        <v>991</v>
      </c>
      <c r="AB67" s="2936"/>
      <c r="AC67" s="2937"/>
      <c r="AD67" s="2938" t="s">
        <v>992</v>
      </c>
      <c r="AE67" s="2939"/>
      <c r="AF67" s="2940"/>
      <c r="AG67" s="2537" t="s">
        <v>993</v>
      </c>
      <c r="AH67" s="2052" t="s">
        <v>994</v>
      </c>
      <c r="AI67" s="760"/>
      <c r="AJ67" s="760"/>
      <c r="AK67" s="760"/>
      <c r="AL67" s="760"/>
      <c r="AM67" s="1108"/>
      <c r="AN67" s="1108"/>
      <c r="AO67" s="2536" t="s">
        <v>2079</v>
      </c>
      <c r="AP67" s="2533">
        <v>20</v>
      </c>
      <c r="AQ67" s="2528"/>
      <c r="AR67" s="2533">
        <v>20</v>
      </c>
      <c r="AS67" s="2526"/>
      <c r="AT67" s="2533">
        <v>20</v>
      </c>
      <c r="AU67" s="2533">
        <v>20</v>
      </c>
      <c r="AV67" s="2533">
        <v>20</v>
      </c>
      <c r="AW67" s="2534"/>
      <c r="AX67" s="2534"/>
      <c r="AY67" s="2525"/>
      <c r="AZ67" s="2536" t="s">
        <v>2079</v>
      </c>
      <c r="BA67" s="2531">
        <v>80</v>
      </c>
      <c r="BB67" s="2531">
        <v>100</v>
      </c>
      <c r="BC67" s="2531">
        <v>120</v>
      </c>
      <c r="BD67" s="2531">
        <v>120</v>
      </c>
      <c r="BE67" s="2531">
        <v>120</v>
      </c>
      <c r="BF67" s="2525"/>
      <c r="BG67" s="2536" t="s">
        <v>2079</v>
      </c>
      <c r="BH67" s="2535">
        <v>160</v>
      </c>
      <c r="BI67" s="2530">
        <v>200</v>
      </c>
      <c r="BJ67" s="2530">
        <v>240</v>
      </c>
      <c r="BK67" s="2530">
        <v>240</v>
      </c>
      <c r="BL67" s="2530">
        <v>240</v>
      </c>
      <c r="BN67" s="2392"/>
      <c r="BO67" s="760"/>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row>
    <row r="68" spans="1:258" ht="20.25" customHeight="1" thickBot="1">
      <c r="A68" s="760"/>
      <c r="C68" s="2197" t="s">
        <v>1078</v>
      </c>
      <c r="D68" s="2565"/>
      <c r="E68" s="2941" t="s">
        <v>910</v>
      </c>
      <c r="F68" s="2942"/>
      <c r="G68" s="2943" t="s">
        <v>120</v>
      </c>
      <c r="H68" s="2942"/>
      <c r="I68" s="2943" t="s">
        <v>2006</v>
      </c>
      <c r="J68" s="2944"/>
      <c r="K68" s="2063" t="s">
        <v>120</v>
      </c>
      <c r="L68" s="2081" t="s">
        <v>983</v>
      </c>
      <c r="M68" s="2086" t="s">
        <v>910</v>
      </c>
      <c r="N68" s="2044" t="s">
        <v>120</v>
      </c>
      <c r="O68" s="2539" t="s">
        <v>983</v>
      </c>
      <c r="P68" s="2086" t="s">
        <v>910</v>
      </c>
      <c r="Q68" s="2044" t="s">
        <v>120</v>
      </c>
      <c r="R68" s="2539" t="s">
        <v>983</v>
      </c>
      <c r="S68" s="2546" t="s">
        <v>910</v>
      </c>
      <c r="T68" s="2046" t="s">
        <v>120</v>
      </c>
      <c r="U68" s="2543" t="s">
        <v>983</v>
      </c>
      <c r="V68" s="2545"/>
      <c r="W68" s="2550"/>
      <c r="X68" s="2547" t="s">
        <v>910</v>
      </c>
      <c r="Y68" s="2053" t="s">
        <v>120</v>
      </c>
      <c r="Z68" s="2544" t="s">
        <v>983</v>
      </c>
      <c r="AA68" s="2547" t="s">
        <v>910</v>
      </c>
      <c r="AB68" s="2053" t="s">
        <v>120</v>
      </c>
      <c r="AC68" s="2544" t="s">
        <v>983</v>
      </c>
      <c r="AD68" s="2563" t="s">
        <v>910</v>
      </c>
      <c r="AE68" s="2051" t="s">
        <v>120</v>
      </c>
      <c r="AF68" s="2564" t="s">
        <v>983</v>
      </c>
      <c r="AG68" s="2542"/>
      <c r="AH68" s="2055"/>
      <c r="AI68" s="760"/>
      <c r="AJ68" s="760"/>
      <c r="AK68" s="760"/>
      <c r="AL68" s="760"/>
      <c r="AM68" s="1108"/>
      <c r="AN68" s="1108"/>
      <c r="AO68" s="1993" t="s">
        <v>1022</v>
      </c>
      <c r="AP68" s="1994"/>
      <c r="AQ68" s="1995"/>
      <c r="AR68" s="1994"/>
      <c r="AS68" s="1996"/>
      <c r="AT68" s="1994"/>
      <c r="AU68" s="1994"/>
      <c r="AV68" s="1994"/>
      <c r="AW68" s="2009"/>
      <c r="AX68" s="1990"/>
      <c r="AY68" s="760"/>
      <c r="AZ68" s="1931" t="s">
        <v>1022</v>
      </c>
      <c r="BA68" s="2514"/>
      <c r="BB68" s="2514"/>
      <c r="BC68" s="2514"/>
      <c r="BD68" s="2514"/>
      <c r="BE68" s="2514"/>
      <c r="BF68" s="760"/>
      <c r="BG68" s="1931" t="s">
        <v>1022</v>
      </c>
      <c r="BH68" s="2496"/>
      <c r="BI68" s="2496"/>
      <c r="BJ68" s="2501"/>
      <c r="BK68" s="2501"/>
      <c r="BL68" s="2501"/>
      <c r="BM68" s="2500"/>
      <c r="BN68" s="2392"/>
      <c r="BO68" s="760"/>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row>
    <row r="69" spans="1:258" ht="18.75" customHeight="1" thickBot="1">
      <c r="A69" s="760"/>
      <c r="C69" s="2199" t="s">
        <v>2043</v>
      </c>
      <c r="D69" s="2196"/>
      <c r="E69" s="2064" t="s">
        <v>998</v>
      </c>
      <c r="F69" s="2058" t="s">
        <v>999</v>
      </c>
      <c r="G69" s="2058" t="s">
        <v>998</v>
      </c>
      <c r="H69" s="2058" t="s">
        <v>999</v>
      </c>
      <c r="I69" s="2058" t="s">
        <v>998</v>
      </c>
      <c r="J69" s="2065" t="s">
        <v>999</v>
      </c>
      <c r="K69" s="3047" t="s">
        <v>999</v>
      </c>
      <c r="L69" s="3047"/>
      <c r="M69" s="2909" t="s">
        <v>1083</v>
      </c>
      <c r="N69" s="2910"/>
      <c r="O69" s="2911"/>
      <c r="P69" s="2909" t="s">
        <v>1083</v>
      </c>
      <c r="Q69" s="2910"/>
      <c r="R69" s="2911"/>
      <c r="S69" s="2909" t="s">
        <v>1083</v>
      </c>
      <c r="T69" s="2910"/>
      <c r="U69" s="2911"/>
      <c r="V69" s="2522"/>
      <c r="W69" s="2050"/>
      <c r="X69" s="2990" t="s">
        <v>1084</v>
      </c>
      <c r="Y69" s="2991"/>
      <c r="Z69" s="2992"/>
      <c r="AA69" s="2993" t="s">
        <v>1084</v>
      </c>
      <c r="AB69" s="2994"/>
      <c r="AC69" s="2995"/>
      <c r="AD69" s="2993" t="s">
        <v>1084</v>
      </c>
      <c r="AE69" s="2994"/>
      <c r="AF69" s="2995"/>
      <c r="AG69" s="2540"/>
      <c r="AH69" s="2057"/>
      <c r="AI69" s="760"/>
      <c r="AJ69" s="760"/>
      <c r="AK69" s="760"/>
      <c r="AL69" s="760"/>
      <c r="AM69" s="1108"/>
      <c r="AN69" s="1108"/>
      <c r="AO69" s="1997"/>
      <c r="AP69" s="1998"/>
      <c r="AQ69" s="1999"/>
      <c r="AR69" s="1998"/>
      <c r="AS69" s="2000"/>
      <c r="AT69" s="1998"/>
      <c r="AU69" s="2009"/>
      <c r="AV69" s="2009"/>
      <c r="AW69" s="2009"/>
      <c r="AX69" s="1969"/>
      <c r="AY69" s="760"/>
      <c r="AZ69" s="1078"/>
      <c r="BA69" s="2514"/>
      <c r="BB69" s="2514"/>
      <c r="BC69" s="2514"/>
      <c r="BD69" s="2514"/>
      <c r="BE69" s="2514"/>
      <c r="BF69" s="760"/>
      <c r="BG69" s="1078"/>
      <c r="BH69" s="2499"/>
      <c r="BI69" s="2499"/>
      <c r="BJ69" s="2499"/>
      <c r="BK69" s="2499"/>
      <c r="BL69" s="2499"/>
      <c r="BM69" s="2392"/>
      <c r="BN69" s="2392"/>
      <c r="BO69" s="760"/>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row>
    <row r="70" spans="1:258" ht="21" customHeight="1">
      <c r="A70" s="760"/>
      <c r="C70" s="2745" t="s">
        <v>995</v>
      </c>
      <c r="D70" s="2562"/>
      <c r="E70" s="2523" t="s">
        <v>1068</v>
      </c>
      <c r="F70" s="2566">
        <v>40</v>
      </c>
      <c r="G70" s="2816" t="s">
        <v>1079</v>
      </c>
      <c r="H70" s="2566">
        <v>40</v>
      </c>
      <c r="I70" s="2816" t="s">
        <v>1080</v>
      </c>
      <c r="J70" s="2566">
        <v>40</v>
      </c>
      <c r="K70" s="2145">
        <v>35</v>
      </c>
      <c r="L70" s="2146">
        <v>35</v>
      </c>
      <c r="M70" s="2551"/>
      <c r="N70" s="2601">
        <v>40</v>
      </c>
      <c r="O70" s="2602"/>
      <c r="P70" s="2603"/>
      <c r="Q70" s="2601">
        <v>30</v>
      </c>
      <c r="R70" s="2553"/>
      <c r="S70" s="2690">
        <v>25</v>
      </c>
      <c r="T70" s="2691">
        <v>25</v>
      </c>
      <c r="U70" s="2692">
        <v>30</v>
      </c>
      <c r="V70" s="2548" t="s">
        <v>1007</v>
      </c>
      <c r="W70" s="2604" t="s">
        <v>1008</v>
      </c>
      <c r="X70" s="2575"/>
      <c r="Y70" s="2576">
        <v>120</v>
      </c>
      <c r="Z70" s="2577"/>
      <c r="AA70" s="2578"/>
      <c r="AB70" s="2576">
        <v>100</v>
      </c>
      <c r="AC70" s="2579"/>
      <c r="AD70" s="2580">
        <v>70</v>
      </c>
      <c r="AE70" s="2581">
        <v>80</v>
      </c>
      <c r="AF70" s="2582">
        <v>90</v>
      </c>
      <c r="AG70" s="2583" t="s">
        <v>1869</v>
      </c>
      <c r="AH70" s="2584" t="s">
        <v>1008</v>
      </c>
      <c r="AI70" s="760"/>
      <c r="AJ70" s="760"/>
      <c r="AK70" s="760"/>
      <c r="AL70" s="760"/>
      <c r="AM70" s="1108"/>
      <c r="AN70" s="1108"/>
      <c r="AO70" s="2001" t="s">
        <v>1028</v>
      </c>
      <c r="AP70" s="2002" t="s">
        <v>910</v>
      </c>
      <c r="AQ70" s="1992" t="s">
        <v>1029</v>
      </c>
      <c r="AR70" s="2740" t="s">
        <v>2135</v>
      </c>
      <c r="AS70" s="1995" t="s">
        <v>1029</v>
      </c>
      <c r="AT70" s="2740" t="s">
        <v>2136</v>
      </c>
      <c r="AU70" s="2002" t="s">
        <v>120</v>
      </c>
      <c r="AV70" s="2002" t="s">
        <v>983</v>
      </c>
      <c r="AW70" s="2009"/>
      <c r="AX70" s="2007"/>
      <c r="AY70" s="760"/>
      <c r="AZ70" s="1109" t="s">
        <v>1030</v>
      </c>
      <c r="BA70" s="2513" t="s">
        <v>910</v>
      </c>
      <c r="BB70" s="2512" t="s">
        <v>120</v>
      </c>
      <c r="BC70" s="2511" t="s">
        <v>116</v>
      </c>
      <c r="BD70" s="2392" t="s">
        <v>913</v>
      </c>
      <c r="BE70" s="2392" t="s">
        <v>914</v>
      </c>
      <c r="BF70" s="760"/>
      <c r="BG70" s="1109" t="s">
        <v>1031</v>
      </c>
      <c r="BH70" s="2513"/>
      <c r="BI70" s="2512"/>
      <c r="BJ70" s="2511"/>
      <c r="BK70" s="2392"/>
      <c r="BL70" s="2392"/>
      <c r="BM70" s="2392"/>
      <c r="BN70" s="2392"/>
      <c r="BO70" s="76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row>
    <row r="71" spans="1:258" ht="21" customHeight="1" thickBot="1">
      <c r="A71" s="760"/>
      <c r="C71" s="2746" t="s">
        <v>989</v>
      </c>
      <c r="D71" s="2561"/>
      <c r="E71" s="2523" t="s">
        <v>1068</v>
      </c>
      <c r="F71" s="2566">
        <v>80</v>
      </c>
      <c r="G71" s="2816" t="s">
        <v>1079</v>
      </c>
      <c r="H71" s="2566">
        <v>80</v>
      </c>
      <c r="I71" s="2816" t="s">
        <v>1080</v>
      </c>
      <c r="J71" s="2566">
        <v>80</v>
      </c>
      <c r="K71" s="2148">
        <v>70</v>
      </c>
      <c r="L71" s="2149">
        <v>70</v>
      </c>
      <c r="M71" s="2551"/>
      <c r="N71" s="2601">
        <v>40</v>
      </c>
      <c r="O71" s="2602"/>
      <c r="P71" s="2603"/>
      <c r="Q71" s="2601">
        <v>30</v>
      </c>
      <c r="R71" s="2553"/>
      <c r="S71" s="2690">
        <v>25</v>
      </c>
      <c r="T71" s="2691">
        <v>25</v>
      </c>
      <c r="U71" s="2692">
        <v>30</v>
      </c>
      <c r="V71" s="2548" t="s">
        <v>1007</v>
      </c>
      <c r="W71" s="2604" t="s">
        <v>1008</v>
      </c>
      <c r="X71" s="2575"/>
      <c r="Y71" s="2576">
        <v>120</v>
      </c>
      <c r="Z71" s="2577"/>
      <c r="AA71" s="2578"/>
      <c r="AB71" s="2576">
        <v>100</v>
      </c>
      <c r="AC71" s="2579"/>
      <c r="AD71" s="2580">
        <v>70</v>
      </c>
      <c r="AE71" s="2581">
        <v>80</v>
      </c>
      <c r="AF71" s="2582">
        <v>90</v>
      </c>
      <c r="AG71" s="2583" t="s">
        <v>1869</v>
      </c>
      <c r="AH71" s="2584" t="s">
        <v>1008</v>
      </c>
      <c r="AI71" s="760"/>
      <c r="AJ71" s="760"/>
      <c r="AK71" s="760"/>
      <c r="AL71" s="760"/>
      <c r="AM71" s="1108"/>
      <c r="AN71" s="1108"/>
      <c r="AO71" s="1993" t="s">
        <v>1998</v>
      </c>
      <c r="AP71" s="1991">
        <v>20</v>
      </c>
      <c r="AQ71" s="1966">
        <v>30</v>
      </c>
      <c r="AR71" s="2741">
        <f>IF(Tabelle1!$AO$16=1,N_Bedarf!AQ71,N_Bedarf!AU71)</f>
        <v>30</v>
      </c>
      <c r="AS71" s="1966">
        <v>30</v>
      </c>
      <c r="AT71" s="2741">
        <f>IF(Tabelle1!$AO$16=1,N_Bedarf!AS71,N_Bedarf!AV71)</f>
        <v>30</v>
      </c>
      <c r="AU71" s="1991">
        <v>30</v>
      </c>
      <c r="AV71" s="1991">
        <v>30</v>
      </c>
      <c r="AW71" s="1968"/>
      <c r="AX71" s="2008" t="s">
        <v>1036</v>
      </c>
      <c r="AY71" s="760"/>
      <c r="AZ71" s="1970" t="s">
        <v>1998</v>
      </c>
      <c r="BA71" s="2516">
        <v>15</v>
      </c>
      <c r="BB71" s="2516">
        <v>30</v>
      </c>
      <c r="BC71" s="2516">
        <v>30</v>
      </c>
      <c r="BD71" s="2516">
        <v>30</v>
      </c>
      <c r="BE71" s="2516">
        <v>30</v>
      </c>
      <c r="BF71" s="1934"/>
      <c r="BG71" s="1970" t="s">
        <v>1998</v>
      </c>
      <c r="BH71" s="2502">
        <v>45</v>
      </c>
      <c r="BI71" s="2505">
        <v>80</v>
      </c>
      <c r="BJ71" s="2505">
        <v>80</v>
      </c>
      <c r="BK71" s="2505">
        <v>80</v>
      </c>
      <c r="BL71" s="2505">
        <v>80</v>
      </c>
      <c r="BM71" s="2392"/>
      <c r="BN71" s="2392"/>
      <c r="BO71" s="760"/>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row>
    <row r="72" spans="1:258" ht="21" customHeight="1">
      <c r="A72" s="760"/>
      <c r="C72" s="3004" t="s">
        <v>2143</v>
      </c>
      <c r="D72" s="2559" t="s">
        <v>2008</v>
      </c>
      <c r="E72" s="2523" t="s">
        <v>1044</v>
      </c>
      <c r="F72" s="2567">
        <v>20</v>
      </c>
      <c r="G72" s="2816" t="s">
        <v>1092</v>
      </c>
      <c r="H72" s="2567">
        <v>30</v>
      </c>
      <c r="I72" s="2816" t="s">
        <v>226</v>
      </c>
      <c r="J72" s="2567"/>
      <c r="K72" s="2148">
        <v>30</v>
      </c>
      <c r="L72" s="2149">
        <v>30</v>
      </c>
      <c r="M72" s="2605">
        <v>25</v>
      </c>
      <c r="N72" s="2606">
        <v>45</v>
      </c>
      <c r="O72" s="2607"/>
      <c r="P72" s="2605">
        <v>20</v>
      </c>
      <c r="Q72" s="2606">
        <v>40</v>
      </c>
      <c r="R72" s="2607"/>
      <c r="S72" s="2690">
        <v>15</v>
      </c>
      <c r="T72" s="2691">
        <v>30</v>
      </c>
      <c r="U72" s="2692"/>
      <c r="V72" s="2548" t="s">
        <v>2009</v>
      </c>
      <c r="W72" s="2604" t="s">
        <v>2009</v>
      </c>
      <c r="X72" s="2585">
        <v>70</v>
      </c>
      <c r="Y72" s="2586">
        <v>120</v>
      </c>
      <c r="Z72" s="2587"/>
      <c r="AA72" s="2585">
        <v>55</v>
      </c>
      <c r="AB72" s="2588">
        <v>100</v>
      </c>
      <c r="AC72" s="2589"/>
      <c r="AD72" s="2590">
        <v>45</v>
      </c>
      <c r="AE72" s="2581">
        <v>80</v>
      </c>
      <c r="AF72" s="2577"/>
      <c r="AG72" s="2583" t="s">
        <v>2009</v>
      </c>
      <c r="AH72" s="2584" t="s">
        <v>2009</v>
      </c>
      <c r="AI72" s="760"/>
      <c r="AJ72" s="760"/>
      <c r="AK72" s="760"/>
      <c r="AL72" s="760"/>
      <c r="AM72" s="1108"/>
      <c r="AN72" s="1108"/>
      <c r="AO72" s="1993" t="s">
        <v>1999</v>
      </c>
      <c r="AP72" s="1991">
        <v>60</v>
      </c>
      <c r="AQ72" s="1966">
        <v>90</v>
      </c>
      <c r="AR72" s="2741">
        <f>IF(Tabelle1!$AO$16=1,N_Bedarf!AQ72,N_Bedarf!AU72)</f>
        <v>90</v>
      </c>
      <c r="AS72" s="1966">
        <v>90</v>
      </c>
      <c r="AT72" s="2741">
        <f>IF(Tabelle1!$AO$16=1,N_Bedarf!AS72,N_Bedarf!AV72)</f>
        <v>90</v>
      </c>
      <c r="AU72" s="1991">
        <v>90</v>
      </c>
      <c r="AV72" s="1991">
        <v>90</v>
      </c>
      <c r="AW72" s="1968"/>
      <c r="AX72" s="2008" t="s">
        <v>1036</v>
      </c>
      <c r="AY72" s="760"/>
      <c r="AZ72" s="1970" t="s">
        <v>1999</v>
      </c>
      <c r="BA72" s="2516">
        <v>40</v>
      </c>
      <c r="BB72" s="2516">
        <v>50</v>
      </c>
      <c r="BC72" s="2516">
        <v>50</v>
      </c>
      <c r="BD72" s="2516">
        <v>50</v>
      </c>
      <c r="BE72" s="2516">
        <v>50</v>
      </c>
      <c r="BF72" s="1934"/>
      <c r="BG72" s="1970" t="s">
        <v>1999</v>
      </c>
      <c r="BH72" s="2502">
        <v>120</v>
      </c>
      <c r="BI72" s="2505">
        <v>140</v>
      </c>
      <c r="BJ72" s="2505">
        <v>140</v>
      </c>
      <c r="BK72" s="2505">
        <v>140</v>
      </c>
      <c r="BL72" s="2505">
        <v>140</v>
      </c>
      <c r="BM72" s="2392"/>
      <c r="BN72" s="2392"/>
      <c r="BO72" s="760"/>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row>
    <row r="73" spans="1:258" ht="21" customHeight="1">
      <c r="A73" s="760"/>
      <c r="C73" s="3001"/>
      <c r="D73" s="2556" t="s">
        <v>2010</v>
      </c>
      <c r="E73" s="2523" t="s">
        <v>2011</v>
      </c>
      <c r="F73" s="2567">
        <v>60</v>
      </c>
      <c r="G73" s="2816" t="s">
        <v>2153</v>
      </c>
      <c r="H73" s="2567">
        <v>90</v>
      </c>
      <c r="I73" s="2816" t="s">
        <v>226</v>
      </c>
      <c r="J73" s="2567"/>
      <c r="K73" s="2148">
        <v>90</v>
      </c>
      <c r="L73" s="2149">
        <v>90</v>
      </c>
      <c r="M73" s="2605">
        <v>45</v>
      </c>
      <c r="N73" s="2606">
        <v>70</v>
      </c>
      <c r="O73" s="2607"/>
      <c r="P73" s="2605">
        <v>40</v>
      </c>
      <c r="Q73" s="2606">
        <v>55</v>
      </c>
      <c r="R73" s="2607"/>
      <c r="S73" s="2690">
        <v>30</v>
      </c>
      <c r="T73" s="2691">
        <v>45</v>
      </c>
      <c r="U73" s="2692"/>
      <c r="V73" s="2548" t="s">
        <v>2009</v>
      </c>
      <c r="W73" s="2604" t="s">
        <v>2009</v>
      </c>
      <c r="X73" s="2585">
        <v>120</v>
      </c>
      <c r="Y73" s="2586">
        <v>180</v>
      </c>
      <c r="Z73" s="2587"/>
      <c r="AA73" s="2585">
        <v>100</v>
      </c>
      <c r="AB73" s="2588">
        <v>150</v>
      </c>
      <c r="AC73" s="2589"/>
      <c r="AD73" s="2590">
        <v>80</v>
      </c>
      <c r="AE73" s="2581">
        <v>120</v>
      </c>
      <c r="AF73" s="2577"/>
      <c r="AG73" s="2583" t="s">
        <v>2009</v>
      </c>
      <c r="AH73" s="2584" t="s">
        <v>2009</v>
      </c>
      <c r="AI73" s="760"/>
      <c r="AJ73" s="760"/>
      <c r="AK73" s="760"/>
      <c r="AL73" s="760"/>
      <c r="AM73" s="1108"/>
      <c r="AN73" s="1108"/>
      <c r="AO73" s="1993" t="s">
        <v>2000</v>
      </c>
      <c r="AP73" s="1991">
        <v>120</v>
      </c>
      <c r="AQ73" s="1966">
        <v>120</v>
      </c>
      <c r="AR73" s="2741">
        <f>IF(Tabelle1!$AO$16=1,N_Bedarf!AQ73,N_Bedarf!AU73)</f>
        <v>120</v>
      </c>
      <c r="AS73" s="1966">
        <v>140</v>
      </c>
      <c r="AT73" s="2741">
        <f>IF(Tabelle1!$AO$16=1,N_Bedarf!AS73,N_Bedarf!AV73)</f>
        <v>150</v>
      </c>
      <c r="AU73" s="1991">
        <v>120</v>
      </c>
      <c r="AV73" s="1991">
        <v>150</v>
      </c>
      <c r="AW73" s="1968"/>
      <c r="AX73" s="2008" t="s">
        <v>1036</v>
      </c>
      <c r="AY73" s="760"/>
      <c r="AZ73" s="1970" t="s">
        <v>2000</v>
      </c>
      <c r="BA73" s="2516">
        <v>60</v>
      </c>
      <c r="BB73" s="2516">
        <v>60</v>
      </c>
      <c r="BC73" s="2516">
        <v>80</v>
      </c>
      <c r="BD73" s="2516">
        <v>80</v>
      </c>
      <c r="BE73" s="2516">
        <v>80</v>
      </c>
      <c r="BF73" s="1934"/>
      <c r="BG73" s="1970" t="s">
        <v>2000</v>
      </c>
      <c r="BH73" s="2505">
        <v>190</v>
      </c>
      <c r="BI73" s="2505">
        <v>190</v>
      </c>
      <c r="BJ73" s="2519">
        <v>225</v>
      </c>
      <c r="BK73" s="2519">
        <v>225</v>
      </c>
      <c r="BL73" s="2519">
        <v>225</v>
      </c>
      <c r="BM73" s="2392"/>
      <c r="BN73" s="2392"/>
      <c r="BO73" s="760"/>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row>
    <row r="74" spans="1:258" ht="21" customHeight="1">
      <c r="A74" s="760"/>
      <c r="C74" s="3001"/>
      <c r="D74" s="2556" t="s">
        <v>2012</v>
      </c>
      <c r="E74" s="2523" t="s">
        <v>2013</v>
      </c>
      <c r="F74" s="2567">
        <v>105</v>
      </c>
      <c r="G74" s="2816" t="s">
        <v>2014</v>
      </c>
      <c r="H74" s="2567">
        <v>120</v>
      </c>
      <c r="I74" s="2816" t="s">
        <v>1020</v>
      </c>
      <c r="J74" s="2567">
        <v>150</v>
      </c>
      <c r="K74" s="2148">
        <v>120</v>
      </c>
      <c r="L74" s="2149">
        <v>140</v>
      </c>
      <c r="M74" s="2605">
        <v>70</v>
      </c>
      <c r="N74" s="2606">
        <v>100</v>
      </c>
      <c r="O74" s="2607">
        <v>120</v>
      </c>
      <c r="P74" s="2605">
        <v>55</v>
      </c>
      <c r="Q74" s="2606">
        <v>80</v>
      </c>
      <c r="R74" s="2607">
        <v>100</v>
      </c>
      <c r="S74" s="2690">
        <v>45</v>
      </c>
      <c r="T74" s="2691">
        <v>65</v>
      </c>
      <c r="U74" s="2692">
        <v>80</v>
      </c>
      <c r="V74" s="2548" t="s">
        <v>2009</v>
      </c>
      <c r="W74" s="2604" t="s">
        <v>2009</v>
      </c>
      <c r="X74" s="2585">
        <v>195</v>
      </c>
      <c r="Y74" s="2586">
        <v>255</v>
      </c>
      <c r="Z74" s="2587">
        <v>325</v>
      </c>
      <c r="AA74" s="2585">
        <v>165</v>
      </c>
      <c r="AB74" s="2588">
        <v>215</v>
      </c>
      <c r="AC74" s="2589">
        <v>270</v>
      </c>
      <c r="AD74" s="2590">
        <v>130</v>
      </c>
      <c r="AE74" s="2581">
        <v>170</v>
      </c>
      <c r="AF74" s="2577">
        <v>215</v>
      </c>
      <c r="AG74" s="2583" t="s">
        <v>2009</v>
      </c>
      <c r="AH74" s="2584" t="s">
        <v>2009</v>
      </c>
      <c r="AI74" s="760"/>
      <c r="AJ74" s="760"/>
      <c r="AK74" s="760"/>
      <c r="AL74" s="760"/>
      <c r="AM74" s="1108"/>
      <c r="AN74" s="1108"/>
      <c r="AO74" s="1993" t="s">
        <v>2001</v>
      </c>
      <c r="AP74" s="1991">
        <v>160</v>
      </c>
      <c r="AQ74" s="1966">
        <v>160</v>
      </c>
      <c r="AR74" s="2741">
        <f>IF(Tabelle1!$AO$16=1,N_Bedarf!AQ74,N_Bedarf!AU74)</f>
        <v>160</v>
      </c>
      <c r="AS74" s="1966">
        <v>190</v>
      </c>
      <c r="AT74" s="2741">
        <f>IF(Tabelle1!$AO$16=1,N_Bedarf!AS74,N_Bedarf!AV74)</f>
        <v>200</v>
      </c>
      <c r="AU74" s="1991">
        <v>160</v>
      </c>
      <c r="AV74" s="1991">
        <v>200</v>
      </c>
      <c r="AW74" s="1968"/>
      <c r="AX74" s="2008" t="s">
        <v>1036</v>
      </c>
      <c r="AY74" s="760"/>
      <c r="AZ74" s="1970" t="s">
        <v>2001</v>
      </c>
      <c r="BA74" s="2516">
        <v>80</v>
      </c>
      <c r="BB74" s="2516">
        <v>80</v>
      </c>
      <c r="BC74" s="2516">
        <v>100</v>
      </c>
      <c r="BD74" s="2516">
        <v>100</v>
      </c>
      <c r="BE74" s="2516">
        <v>100</v>
      </c>
      <c r="BF74" s="1934"/>
      <c r="BG74" s="1970" t="s">
        <v>2001</v>
      </c>
      <c r="BH74" s="2505">
        <v>215</v>
      </c>
      <c r="BI74" s="2505">
        <v>215</v>
      </c>
      <c r="BJ74" s="2519">
        <v>290</v>
      </c>
      <c r="BK74" s="2519">
        <v>290</v>
      </c>
      <c r="BL74" s="2519">
        <v>290</v>
      </c>
      <c r="BM74" s="2392"/>
      <c r="BN74" s="2392"/>
      <c r="BO74" s="760"/>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row>
    <row r="75" spans="1:258" ht="21" customHeight="1">
      <c r="A75" s="760"/>
      <c r="C75" s="3001"/>
      <c r="D75" s="2556" t="s">
        <v>2015</v>
      </c>
      <c r="E75" s="2523" t="s">
        <v>226</v>
      </c>
      <c r="F75" s="2567"/>
      <c r="G75" s="2816" t="s">
        <v>1081</v>
      </c>
      <c r="H75" s="2567">
        <v>160</v>
      </c>
      <c r="I75" s="2816" t="s">
        <v>1822</v>
      </c>
      <c r="J75" s="2567">
        <v>200</v>
      </c>
      <c r="K75" s="2148">
        <v>160</v>
      </c>
      <c r="L75" s="2149">
        <v>190</v>
      </c>
      <c r="M75" s="2605"/>
      <c r="N75" s="2606">
        <v>120</v>
      </c>
      <c r="O75" s="2607">
        <v>135</v>
      </c>
      <c r="P75" s="2605"/>
      <c r="Q75" s="2606">
        <v>100</v>
      </c>
      <c r="R75" s="2607">
        <v>115</v>
      </c>
      <c r="S75" s="2690"/>
      <c r="T75" s="2691">
        <v>80</v>
      </c>
      <c r="U75" s="2692">
        <v>90</v>
      </c>
      <c r="V75" s="2548" t="s">
        <v>2009</v>
      </c>
      <c r="W75" s="2604" t="s">
        <v>2009</v>
      </c>
      <c r="X75" s="2585"/>
      <c r="Y75" s="2586">
        <v>310</v>
      </c>
      <c r="Z75" s="2587">
        <v>390</v>
      </c>
      <c r="AA75" s="2585"/>
      <c r="AB75" s="2588">
        <v>255</v>
      </c>
      <c r="AC75" s="2589">
        <v>325</v>
      </c>
      <c r="AD75" s="2590"/>
      <c r="AE75" s="2581">
        <v>205</v>
      </c>
      <c r="AF75" s="2577">
        <v>260</v>
      </c>
      <c r="AG75" s="2583" t="s">
        <v>2009</v>
      </c>
      <c r="AH75" s="2584" t="s">
        <v>2009</v>
      </c>
      <c r="AI75" s="760"/>
      <c r="AJ75" s="760"/>
      <c r="AK75" s="760"/>
      <c r="AL75" s="760"/>
      <c r="AM75" s="1108"/>
      <c r="AN75" s="1108"/>
      <c r="AO75" s="1993" t="s">
        <v>2002</v>
      </c>
      <c r="AP75" s="1991">
        <v>200</v>
      </c>
      <c r="AQ75" s="1966">
        <v>210</v>
      </c>
      <c r="AR75" s="2741">
        <f>IF(Tabelle1!$AO$16=1,N_Bedarf!AQ75,N_Bedarf!AU75)</f>
        <v>200</v>
      </c>
      <c r="AS75" s="1966">
        <v>210</v>
      </c>
      <c r="AT75" s="2741">
        <f>IF(Tabelle1!$AO$16=1,N_Bedarf!AS75,N_Bedarf!AV75)</f>
        <v>250</v>
      </c>
      <c r="AU75" s="1991">
        <v>200</v>
      </c>
      <c r="AV75" s="1991">
        <v>250</v>
      </c>
      <c r="AW75" s="1968"/>
      <c r="AX75" s="2008" t="s">
        <v>1036</v>
      </c>
      <c r="AY75" s="760"/>
      <c r="AZ75" s="1970" t="s">
        <v>2002</v>
      </c>
      <c r="BA75" s="2516">
        <v>85</v>
      </c>
      <c r="BB75" s="2516">
        <v>85</v>
      </c>
      <c r="BC75" s="2516">
        <v>105</v>
      </c>
      <c r="BD75" s="2516">
        <v>105</v>
      </c>
      <c r="BE75" s="2516">
        <v>105</v>
      </c>
      <c r="BF75" s="1934"/>
      <c r="BG75" s="1970" t="s">
        <v>2002</v>
      </c>
      <c r="BH75" s="2505">
        <v>230</v>
      </c>
      <c r="BI75" s="2505">
        <v>230</v>
      </c>
      <c r="BJ75" s="2519">
        <v>300</v>
      </c>
      <c r="BK75" s="2519">
        <v>300</v>
      </c>
      <c r="BL75" s="2519">
        <v>300</v>
      </c>
      <c r="BM75" s="2392"/>
      <c r="BN75" s="2392"/>
      <c r="BO75" s="760"/>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row>
    <row r="76" spans="1:258" ht="21" customHeight="1">
      <c r="A76" s="760"/>
      <c r="C76" s="3001"/>
      <c r="D76" s="2556" t="s">
        <v>2016</v>
      </c>
      <c r="E76" s="2523" t="s">
        <v>226</v>
      </c>
      <c r="F76" s="2567"/>
      <c r="G76" s="2816" t="s">
        <v>2017</v>
      </c>
      <c r="H76" s="2567">
        <v>200</v>
      </c>
      <c r="I76" s="2816" t="s">
        <v>2151</v>
      </c>
      <c r="J76" s="2567">
        <v>250</v>
      </c>
      <c r="K76" s="2148">
        <v>210</v>
      </c>
      <c r="L76" s="2149">
        <v>210</v>
      </c>
      <c r="M76" s="2605"/>
      <c r="N76" s="2606">
        <v>130</v>
      </c>
      <c r="O76" s="2552">
        <v>190</v>
      </c>
      <c r="P76" s="2605"/>
      <c r="Q76" s="2606">
        <v>105</v>
      </c>
      <c r="R76" s="2552">
        <v>155</v>
      </c>
      <c r="S76" s="2690"/>
      <c r="T76" s="2691">
        <v>85</v>
      </c>
      <c r="U76" s="2692">
        <v>125</v>
      </c>
      <c r="V76" s="2548" t="s">
        <v>2009</v>
      </c>
      <c r="W76" s="2604" t="s">
        <v>2009</v>
      </c>
      <c r="X76" s="2585"/>
      <c r="Y76" s="2586">
        <v>345</v>
      </c>
      <c r="Z76" s="2582">
        <v>550</v>
      </c>
      <c r="AA76" s="2585"/>
      <c r="AB76" s="2588">
        <v>290</v>
      </c>
      <c r="AC76" s="2582">
        <v>455</v>
      </c>
      <c r="AD76" s="2590"/>
      <c r="AE76" s="2581">
        <v>230</v>
      </c>
      <c r="AF76" s="2582">
        <v>365</v>
      </c>
      <c r="AG76" s="2583" t="s">
        <v>2009</v>
      </c>
      <c r="AH76" s="2584" t="s">
        <v>2009</v>
      </c>
      <c r="AI76" s="760"/>
      <c r="AJ76" s="760"/>
      <c r="AK76" s="760"/>
      <c r="AL76" s="760"/>
      <c r="AM76" s="1108"/>
      <c r="AN76" s="1108"/>
      <c r="AO76" s="1993" t="s">
        <v>2003</v>
      </c>
      <c r="AP76" s="1991">
        <v>280</v>
      </c>
      <c r="AQ76" s="1966">
        <v>210</v>
      </c>
      <c r="AR76" s="2741">
        <f>IF(Tabelle1!$AO$16=1,N_Bedarf!AQ76,N_Bedarf!AU76)</f>
        <v>280</v>
      </c>
      <c r="AS76" s="1966">
        <v>210</v>
      </c>
      <c r="AT76" s="2741">
        <f>IF(Tabelle1!$AO$16=1,N_Bedarf!AS76,N_Bedarf!AV76)</f>
        <v>280</v>
      </c>
      <c r="AU76" s="1991">
        <v>280</v>
      </c>
      <c r="AV76" s="1991">
        <v>280</v>
      </c>
      <c r="AW76" s="1968"/>
      <c r="AX76" s="2008" t="s">
        <v>1036</v>
      </c>
      <c r="AY76" s="760"/>
      <c r="AZ76" s="1970" t="s">
        <v>2003</v>
      </c>
      <c r="BA76" s="2516">
        <v>120</v>
      </c>
      <c r="BB76" s="2516">
        <v>120</v>
      </c>
      <c r="BC76" s="2516">
        <v>120</v>
      </c>
      <c r="BD76" s="2516">
        <v>120</v>
      </c>
      <c r="BE76" s="2516">
        <v>120</v>
      </c>
      <c r="BF76" s="1934"/>
      <c r="BG76" s="1970" t="s">
        <v>2003</v>
      </c>
      <c r="BH76" s="2519">
        <v>340</v>
      </c>
      <c r="BI76" s="2519">
        <v>340</v>
      </c>
      <c r="BJ76" s="2519">
        <v>340</v>
      </c>
      <c r="BK76" s="2519">
        <v>340</v>
      </c>
      <c r="BL76" s="2519">
        <v>340</v>
      </c>
      <c r="BM76" s="2392"/>
      <c r="BN76" s="2392"/>
      <c r="BO76" s="760"/>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row>
    <row r="77" spans="1:258" ht="21" customHeight="1" thickBot="1">
      <c r="A77" s="760"/>
      <c r="C77" s="3005"/>
      <c r="D77" s="2558" t="s">
        <v>2018</v>
      </c>
      <c r="E77" s="2523" t="s">
        <v>226</v>
      </c>
      <c r="F77" s="2567"/>
      <c r="G77" s="2816" t="s">
        <v>226</v>
      </c>
      <c r="H77" s="2567"/>
      <c r="I77" s="2816" t="s">
        <v>2152</v>
      </c>
      <c r="J77" s="2567">
        <v>280</v>
      </c>
      <c r="K77" s="2148">
        <v>210</v>
      </c>
      <c r="L77" s="2149">
        <v>210</v>
      </c>
      <c r="M77" s="2605"/>
      <c r="N77" s="2606"/>
      <c r="O77" s="2552">
        <v>205</v>
      </c>
      <c r="P77" s="2605"/>
      <c r="Q77" s="2606"/>
      <c r="R77" s="2552">
        <v>170</v>
      </c>
      <c r="S77" s="2690"/>
      <c r="T77" s="2691"/>
      <c r="U77" s="2692">
        <v>135</v>
      </c>
      <c r="V77" s="2548" t="s">
        <v>2009</v>
      </c>
      <c r="W77" s="2604" t="s">
        <v>2009</v>
      </c>
      <c r="X77" s="2585"/>
      <c r="Y77" s="2586"/>
      <c r="Z77" s="2582">
        <v>585</v>
      </c>
      <c r="AA77" s="2585"/>
      <c r="AB77" s="2588"/>
      <c r="AC77" s="2582">
        <v>490</v>
      </c>
      <c r="AD77" s="2590"/>
      <c r="AE77" s="2581"/>
      <c r="AF77" s="2582">
        <v>390</v>
      </c>
      <c r="AG77" s="2583" t="s">
        <v>2009</v>
      </c>
      <c r="AH77" s="2584" t="s">
        <v>2009</v>
      </c>
      <c r="AI77" s="760"/>
      <c r="AJ77" s="760"/>
      <c r="AK77" s="760"/>
      <c r="AL77" s="760"/>
      <c r="AM77" s="1108"/>
      <c r="AN77" s="1108"/>
      <c r="AO77" s="2003" t="s">
        <v>1995</v>
      </c>
      <c r="AP77" s="1991">
        <v>15</v>
      </c>
      <c r="AQ77" s="1966">
        <v>25</v>
      </c>
      <c r="AR77" s="2741">
        <f>IF(Tabelle1!$AO$16=1,N_Bedarf!AQ77,N_Bedarf!AU77)</f>
        <v>25</v>
      </c>
      <c r="AS77" s="1966">
        <v>25</v>
      </c>
      <c r="AT77" s="2741">
        <f>IF(Tabelle1!$AO$16=1,N_Bedarf!AS77,N_Bedarf!AV77)</f>
        <v>25</v>
      </c>
      <c r="AU77" s="1991">
        <v>25</v>
      </c>
      <c r="AV77" s="1991">
        <v>25</v>
      </c>
      <c r="AW77" s="1968"/>
      <c r="AX77" s="2008" t="s">
        <v>1036</v>
      </c>
      <c r="AY77" s="760"/>
      <c r="AZ77" s="1971" t="s">
        <v>1995</v>
      </c>
      <c r="BA77" s="2516">
        <v>15</v>
      </c>
      <c r="BB77" s="2516">
        <v>30</v>
      </c>
      <c r="BC77" s="2516">
        <v>30</v>
      </c>
      <c r="BD77" s="2516">
        <v>30</v>
      </c>
      <c r="BE77" s="2516">
        <v>30</v>
      </c>
      <c r="BF77" s="1934"/>
      <c r="BG77" s="1971" t="s">
        <v>1995</v>
      </c>
      <c r="BH77" s="2502">
        <v>45</v>
      </c>
      <c r="BI77" s="2505">
        <v>80</v>
      </c>
      <c r="BJ77" s="2505">
        <v>80</v>
      </c>
      <c r="BK77" s="2505">
        <v>80</v>
      </c>
      <c r="BL77" s="2505">
        <v>80</v>
      </c>
      <c r="BM77" s="2392"/>
      <c r="BN77" s="2392"/>
      <c r="BO77" s="760"/>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row>
    <row r="78" spans="1:258" ht="21" customHeight="1">
      <c r="A78" s="760"/>
      <c r="C78" s="2957" t="s">
        <v>2142</v>
      </c>
      <c r="D78" s="2560" t="s">
        <v>2019</v>
      </c>
      <c r="E78" s="2523" t="s">
        <v>1044</v>
      </c>
      <c r="F78" s="2567">
        <v>20</v>
      </c>
      <c r="G78" s="2816" t="s">
        <v>1092</v>
      </c>
      <c r="H78" s="2567">
        <v>30</v>
      </c>
      <c r="I78" s="2816" t="s">
        <v>226</v>
      </c>
      <c r="J78" s="2567"/>
      <c r="K78" s="2148">
        <v>30</v>
      </c>
      <c r="L78" s="2149">
        <v>30</v>
      </c>
      <c r="M78" s="2605">
        <v>25</v>
      </c>
      <c r="N78" s="2606">
        <v>45</v>
      </c>
      <c r="O78" s="2607"/>
      <c r="P78" s="2605">
        <v>20</v>
      </c>
      <c r="Q78" s="2606">
        <v>40</v>
      </c>
      <c r="R78" s="2607"/>
      <c r="S78" s="2690">
        <v>15</v>
      </c>
      <c r="T78" s="2691">
        <v>30</v>
      </c>
      <c r="U78" s="2692"/>
      <c r="V78" s="2548" t="s">
        <v>2009</v>
      </c>
      <c r="W78" s="2604" t="s">
        <v>2009</v>
      </c>
      <c r="X78" s="2585">
        <v>70</v>
      </c>
      <c r="Y78" s="2586">
        <v>120</v>
      </c>
      <c r="Z78" s="2587"/>
      <c r="AA78" s="2585">
        <v>55</v>
      </c>
      <c r="AB78" s="2588">
        <v>100</v>
      </c>
      <c r="AC78" s="2589"/>
      <c r="AD78" s="2590">
        <v>45</v>
      </c>
      <c r="AE78" s="2581">
        <v>80</v>
      </c>
      <c r="AF78" s="2577"/>
      <c r="AG78" s="2583" t="s">
        <v>2009</v>
      </c>
      <c r="AH78" s="2584" t="s">
        <v>2009</v>
      </c>
      <c r="AI78" s="760"/>
      <c r="AJ78" s="760"/>
      <c r="AK78" s="760"/>
      <c r="AL78" s="760"/>
      <c r="AM78" s="1108"/>
      <c r="AN78" s="1108"/>
      <c r="AO78" s="2003" t="s">
        <v>1990</v>
      </c>
      <c r="AP78" s="1991">
        <v>45</v>
      </c>
      <c r="AQ78" s="2004">
        <v>70</v>
      </c>
      <c r="AR78" s="2741">
        <f>IF(Tabelle1!$AO$16=1,N_Bedarf!AQ78,N_Bedarf!AU78)</f>
        <v>70</v>
      </c>
      <c r="AS78" s="2004">
        <v>70</v>
      </c>
      <c r="AT78" s="2741">
        <f>IF(Tabelle1!$AO$16=1,N_Bedarf!AS78,N_Bedarf!AV78)</f>
        <v>70</v>
      </c>
      <c r="AU78" s="1991">
        <v>70</v>
      </c>
      <c r="AV78" s="1991">
        <v>70</v>
      </c>
      <c r="AW78" s="1968"/>
      <c r="AX78" s="2008" t="s">
        <v>1036</v>
      </c>
      <c r="AY78" s="760"/>
      <c r="AZ78" s="1971" t="s">
        <v>1990</v>
      </c>
      <c r="BA78" s="2516">
        <v>40</v>
      </c>
      <c r="BB78" s="2516">
        <v>50</v>
      </c>
      <c r="BC78" s="2516">
        <v>50</v>
      </c>
      <c r="BD78" s="2516">
        <v>50</v>
      </c>
      <c r="BE78" s="2516">
        <v>50</v>
      </c>
      <c r="BF78" s="1934"/>
      <c r="BG78" s="1971" t="s">
        <v>1990</v>
      </c>
      <c r="BH78" s="2502">
        <v>120</v>
      </c>
      <c r="BI78" s="2505">
        <v>140</v>
      </c>
      <c r="BJ78" s="2505">
        <v>140</v>
      </c>
      <c r="BK78" s="2505">
        <v>140</v>
      </c>
      <c r="BL78" s="2505">
        <v>140</v>
      </c>
      <c r="BM78" s="2392"/>
      <c r="BN78" s="2392"/>
      <c r="BO78" s="760"/>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row>
    <row r="79" spans="1:258" ht="21" customHeight="1">
      <c r="A79" s="760"/>
      <c r="C79" s="2957"/>
      <c r="D79" s="2555" t="s">
        <v>2010</v>
      </c>
      <c r="E79" s="2523" t="s">
        <v>2011</v>
      </c>
      <c r="F79" s="2567">
        <v>60</v>
      </c>
      <c r="G79" s="2816" t="s">
        <v>2153</v>
      </c>
      <c r="H79" s="2567">
        <v>90</v>
      </c>
      <c r="I79" s="2816" t="s">
        <v>226</v>
      </c>
      <c r="J79" s="2567"/>
      <c r="K79" s="2148">
        <v>90</v>
      </c>
      <c r="L79" s="2149">
        <v>90</v>
      </c>
      <c r="M79" s="2605">
        <v>45</v>
      </c>
      <c r="N79" s="2606">
        <v>70</v>
      </c>
      <c r="O79" s="2607"/>
      <c r="P79" s="2605">
        <v>40</v>
      </c>
      <c r="Q79" s="2606">
        <v>55</v>
      </c>
      <c r="R79" s="2607"/>
      <c r="S79" s="2690">
        <v>30</v>
      </c>
      <c r="T79" s="2691">
        <v>45</v>
      </c>
      <c r="U79" s="2692"/>
      <c r="V79" s="2548" t="s">
        <v>2009</v>
      </c>
      <c r="W79" s="2604" t="s">
        <v>2009</v>
      </c>
      <c r="X79" s="2585">
        <v>120</v>
      </c>
      <c r="Y79" s="2586">
        <v>180</v>
      </c>
      <c r="Z79" s="2587"/>
      <c r="AA79" s="2585">
        <v>100</v>
      </c>
      <c r="AB79" s="2588">
        <v>150</v>
      </c>
      <c r="AC79" s="2589"/>
      <c r="AD79" s="2590">
        <v>80</v>
      </c>
      <c r="AE79" s="2581">
        <v>120</v>
      </c>
      <c r="AF79" s="2577"/>
      <c r="AG79" s="2583" t="s">
        <v>2009</v>
      </c>
      <c r="AH79" s="2584" t="s">
        <v>2009</v>
      </c>
      <c r="AI79" s="760"/>
      <c r="AJ79" s="760"/>
      <c r="AK79" s="760"/>
      <c r="AL79" s="760"/>
      <c r="AM79" s="1108"/>
      <c r="AN79" s="1108"/>
      <c r="AO79" s="2003" t="s">
        <v>1991</v>
      </c>
      <c r="AP79" s="1991">
        <v>90</v>
      </c>
      <c r="AQ79" s="2004">
        <v>90</v>
      </c>
      <c r="AR79" s="2741">
        <f>IF(Tabelle1!$AO$16=1,N_Bedarf!AQ79,N_Bedarf!AU79)</f>
        <v>90</v>
      </c>
      <c r="AS79" s="2004">
        <v>105</v>
      </c>
      <c r="AT79" s="2741">
        <f>IF(Tabelle1!$AO$16=1,N_Bedarf!AS79,N_Bedarf!AV79)</f>
        <v>115</v>
      </c>
      <c r="AU79" s="1991">
        <v>90</v>
      </c>
      <c r="AV79" s="1991">
        <v>115</v>
      </c>
      <c r="AW79" s="1968"/>
      <c r="AX79" s="2008" t="s">
        <v>1036</v>
      </c>
      <c r="AY79" s="760"/>
      <c r="AZ79" s="1971" t="s">
        <v>1991</v>
      </c>
      <c r="BA79" s="2516">
        <v>60</v>
      </c>
      <c r="BB79" s="2516">
        <v>60</v>
      </c>
      <c r="BC79" s="2516">
        <v>80</v>
      </c>
      <c r="BD79" s="2516">
        <v>80</v>
      </c>
      <c r="BE79" s="2516">
        <v>80</v>
      </c>
      <c r="BF79" s="1934"/>
      <c r="BG79" s="1971" t="s">
        <v>1991</v>
      </c>
      <c r="BH79" s="2505">
        <v>190</v>
      </c>
      <c r="BI79" s="2505">
        <v>190</v>
      </c>
      <c r="BJ79" s="2519">
        <v>225</v>
      </c>
      <c r="BK79" s="2519">
        <v>225</v>
      </c>
      <c r="BL79" s="2519">
        <v>225</v>
      </c>
      <c r="BM79" s="2392"/>
      <c r="BN79" s="2392"/>
      <c r="BO79" s="760"/>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row>
    <row r="80" spans="1:258" ht="21" customHeight="1">
      <c r="A80" s="760"/>
      <c r="C80" s="2957"/>
      <c r="D80" s="2555" t="s">
        <v>2012</v>
      </c>
      <c r="E80" s="2523" t="s">
        <v>2013</v>
      </c>
      <c r="F80" s="2567">
        <v>105</v>
      </c>
      <c r="G80" s="2816" t="s">
        <v>2014</v>
      </c>
      <c r="H80" s="2567">
        <v>120</v>
      </c>
      <c r="I80" s="2816" t="s">
        <v>1020</v>
      </c>
      <c r="J80" s="2567">
        <v>150</v>
      </c>
      <c r="K80" s="2148">
        <v>120</v>
      </c>
      <c r="L80" s="2149">
        <v>140</v>
      </c>
      <c r="M80" s="2605">
        <v>70</v>
      </c>
      <c r="N80" s="2606">
        <v>100</v>
      </c>
      <c r="O80" s="2607">
        <v>120</v>
      </c>
      <c r="P80" s="2605">
        <v>55</v>
      </c>
      <c r="Q80" s="2606">
        <v>80</v>
      </c>
      <c r="R80" s="2607">
        <v>100</v>
      </c>
      <c r="S80" s="2690">
        <v>45</v>
      </c>
      <c r="T80" s="2691">
        <v>65</v>
      </c>
      <c r="U80" s="2692">
        <v>80</v>
      </c>
      <c r="V80" s="2548" t="s">
        <v>2009</v>
      </c>
      <c r="W80" s="2604" t="s">
        <v>2009</v>
      </c>
      <c r="X80" s="2585">
        <v>195</v>
      </c>
      <c r="Y80" s="2586">
        <v>255</v>
      </c>
      <c r="Z80" s="2587">
        <v>325</v>
      </c>
      <c r="AA80" s="2585">
        <v>165</v>
      </c>
      <c r="AB80" s="2588">
        <v>215</v>
      </c>
      <c r="AC80" s="2589">
        <v>270</v>
      </c>
      <c r="AD80" s="2590">
        <v>130</v>
      </c>
      <c r="AE80" s="2581">
        <v>170</v>
      </c>
      <c r="AF80" s="2577">
        <v>215</v>
      </c>
      <c r="AG80" s="2583" t="s">
        <v>2009</v>
      </c>
      <c r="AH80" s="2584" t="s">
        <v>2009</v>
      </c>
      <c r="AI80" s="760"/>
      <c r="AJ80" s="760"/>
      <c r="AK80" s="760"/>
      <c r="AL80" s="760"/>
      <c r="AM80" s="1108"/>
      <c r="AN80" s="1108"/>
      <c r="AO80" s="2003" t="s">
        <v>1992</v>
      </c>
      <c r="AP80" s="1991">
        <v>120</v>
      </c>
      <c r="AQ80" s="2004">
        <v>120</v>
      </c>
      <c r="AR80" s="2741">
        <f>IF(Tabelle1!$AO$16=1,N_Bedarf!AQ80,N_Bedarf!AU80)</f>
        <v>120</v>
      </c>
      <c r="AS80" s="2004">
        <v>145</v>
      </c>
      <c r="AT80" s="2741">
        <f>IF(Tabelle1!$AO$16=1,N_Bedarf!AS80,N_Bedarf!AV80)</f>
        <v>150</v>
      </c>
      <c r="AU80" s="1991">
        <v>120</v>
      </c>
      <c r="AV80" s="1991">
        <v>150</v>
      </c>
      <c r="AW80" s="1968"/>
      <c r="AX80" s="2008" t="s">
        <v>1036</v>
      </c>
      <c r="AY80" s="760"/>
      <c r="AZ80" s="1971" t="s">
        <v>1992</v>
      </c>
      <c r="BA80" s="2516">
        <v>80</v>
      </c>
      <c r="BB80" s="2516">
        <v>80</v>
      </c>
      <c r="BC80" s="2516">
        <v>100</v>
      </c>
      <c r="BD80" s="2516">
        <v>100</v>
      </c>
      <c r="BE80" s="2516">
        <v>100</v>
      </c>
      <c r="BF80" s="1934"/>
      <c r="BG80" s="1971" t="s">
        <v>1992</v>
      </c>
      <c r="BH80" s="2505">
        <v>215</v>
      </c>
      <c r="BI80" s="2505">
        <v>215</v>
      </c>
      <c r="BJ80" s="2519">
        <v>290</v>
      </c>
      <c r="BK80" s="2519">
        <v>290</v>
      </c>
      <c r="BL80" s="2519">
        <v>290</v>
      </c>
      <c r="BM80" s="2392"/>
      <c r="BN80" s="2392"/>
      <c r="BO80" s="76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row>
    <row r="81" spans="1:258" ht="21" customHeight="1">
      <c r="A81" s="760"/>
      <c r="C81" s="2957"/>
      <c r="D81" s="2555" t="s">
        <v>2015</v>
      </c>
      <c r="E81" s="2523" t="s">
        <v>226</v>
      </c>
      <c r="F81" s="2567"/>
      <c r="G81" s="2816" t="s">
        <v>1081</v>
      </c>
      <c r="H81" s="2567">
        <v>160</v>
      </c>
      <c r="I81" s="2816" t="s">
        <v>1822</v>
      </c>
      <c r="J81" s="2567">
        <v>200</v>
      </c>
      <c r="K81" s="2148">
        <v>160</v>
      </c>
      <c r="L81" s="2149">
        <v>190</v>
      </c>
      <c r="M81" s="2605"/>
      <c r="N81" s="2606">
        <v>120</v>
      </c>
      <c r="O81" s="2607">
        <v>135</v>
      </c>
      <c r="P81" s="2605"/>
      <c r="Q81" s="2606">
        <v>100</v>
      </c>
      <c r="R81" s="2607">
        <v>115</v>
      </c>
      <c r="S81" s="2690"/>
      <c r="T81" s="2691">
        <v>80</v>
      </c>
      <c r="U81" s="2692">
        <v>90</v>
      </c>
      <c r="V81" s="2548" t="s">
        <v>2009</v>
      </c>
      <c r="W81" s="2604" t="s">
        <v>2009</v>
      </c>
      <c r="X81" s="2585"/>
      <c r="Y81" s="2586">
        <v>310</v>
      </c>
      <c r="Z81" s="2587">
        <v>390</v>
      </c>
      <c r="AA81" s="2585"/>
      <c r="AB81" s="2588">
        <v>255</v>
      </c>
      <c r="AC81" s="2589">
        <v>325</v>
      </c>
      <c r="AD81" s="2590"/>
      <c r="AE81" s="2581">
        <v>205</v>
      </c>
      <c r="AF81" s="2577">
        <v>260</v>
      </c>
      <c r="AG81" s="2583" t="s">
        <v>2009</v>
      </c>
      <c r="AH81" s="2584" t="s">
        <v>2009</v>
      </c>
      <c r="AI81" s="760"/>
      <c r="AJ81" s="760"/>
      <c r="AK81" s="760"/>
      <c r="AL81" s="760"/>
      <c r="AM81" s="1108"/>
      <c r="AN81" s="1108"/>
      <c r="AO81" s="2003" t="s">
        <v>1993</v>
      </c>
      <c r="AP81" s="1991">
        <v>160</v>
      </c>
      <c r="AQ81" s="2004">
        <v>160</v>
      </c>
      <c r="AR81" s="2741">
        <f>IF(Tabelle1!$AO$16=1,N_Bedarf!AQ81,N_Bedarf!AU81)</f>
        <v>160</v>
      </c>
      <c r="AS81" s="2004">
        <v>160</v>
      </c>
      <c r="AT81" s="2741">
        <f>IF(Tabelle1!$AO$16=1,N_Bedarf!AS81,N_Bedarf!AV81)</f>
        <v>190</v>
      </c>
      <c r="AU81" s="1991">
        <v>160</v>
      </c>
      <c r="AV81" s="1991">
        <v>190</v>
      </c>
      <c r="AW81" s="1968"/>
      <c r="AX81" s="2008" t="s">
        <v>1036</v>
      </c>
      <c r="AY81" s="760"/>
      <c r="AZ81" s="1971" t="s">
        <v>1993</v>
      </c>
      <c r="BA81" s="2516">
        <v>85</v>
      </c>
      <c r="BB81" s="2516">
        <v>85</v>
      </c>
      <c r="BC81" s="2516">
        <v>105</v>
      </c>
      <c r="BD81" s="2516">
        <v>105</v>
      </c>
      <c r="BE81" s="2516">
        <v>105</v>
      </c>
      <c r="BF81" s="1934"/>
      <c r="BG81" s="1971" t="s">
        <v>1993</v>
      </c>
      <c r="BH81" s="2505">
        <v>230</v>
      </c>
      <c r="BI81" s="2505">
        <v>230</v>
      </c>
      <c r="BJ81" s="2519">
        <v>300</v>
      </c>
      <c r="BK81" s="2519">
        <v>300</v>
      </c>
      <c r="BL81" s="2519">
        <v>300</v>
      </c>
      <c r="BM81" s="2392"/>
      <c r="BN81" s="2392"/>
      <c r="BO81" s="760"/>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row>
    <row r="82" spans="1:258" ht="21" customHeight="1">
      <c r="A82" s="760"/>
      <c r="C82" s="2957"/>
      <c r="D82" s="2555" t="s">
        <v>2016</v>
      </c>
      <c r="E82" s="2523" t="s">
        <v>226</v>
      </c>
      <c r="F82" s="2567"/>
      <c r="G82" s="2816" t="s">
        <v>2017</v>
      </c>
      <c r="H82" s="2567">
        <v>200</v>
      </c>
      <c r="I82" s="2816" t="s">
        <v>2151</v>
      </c>
      <c r="J82" s="2567">
        <v>250</v>
      </c>
      <c r="K82" s="2148">
        <v>210</v>
      </c>
      <c r="L82" s="2149">
        <v>210</v>
      </c>
      <c r="M82" s="2605"/>
      <c r="N82" s="2606">
        <v>130</v>
      </c>
      <c r="O82" s="2607">
        <v>160</v>
      </c>
      <c r="P82" s="2605"/>
      <c r="Q82" s="2606">
        <v>105</v>
      </c>
      <c r="R82" s="2607">
        <v>130</v>
      </c>
      <c r="S82" s="2690"/>
      <c r="T82" s="2691">
        <v>85</v>
      </c>
      <c r="U82" s="2692">
        <v>105</v>
      </c>
      <c r="V82" s="2548" t="s">
        <v>2009</v>
      </c>
      <c r="W82" s="2604" t="s">
        <v>2009</v>
      </c>
      <c r="X82" s="2585"/>
      <c r="Y82" s="2586">
        <v>345</v>
      </c>
      <c r="Z82" s="2587">
        <v>450</v>
      </c>
      <c r="AA82" s="2585"/>
      <c r="AB82" s="2588">
        <v>290</v>
      </c>
      <c r="AC82" s="2589">
        <v>375</v>
      </c>
      <c r="AD82" s="2590"/>
      <c r="AE82" s="2581">
        <v>230</v>
      </c>
      <c r="AF82" s="2577">
        <v>300</v>
      </c>
      <c r="AG82" s="2583" t="s">
        <v>2009</v>
      </c>
      <c r="AH82" s="2584" t="s">
        <v>2009</v>
      </c>
      <c r="AI82" s="760"/>
      <c r="AJ82" s="760"/>
      <c r="AK82" s="760"/>
      <c r="AL82" s="760"/>
      <c r="AM82" s="1108"/>
      <c r="AN82" s="1108"/>
      <c r="AO82" s="2003" t="s">
        <v>1994</v>
      </c>
      <c r="AP82" s="1991">
        <v>210</v>
      </c>
      <c r="AQ82" s="2004">
        <v>160</v>
      </c>
      <c r="AR82" s="2741">
        <f>IF(Tabelle1!$AO$16=1,N_Bedarf!AQ82,N_Bedarf!AU82)</f>
        <v>210</v>
      </c>
      <c r="AS82" s="2004">
        <v>160</v>
      </c>
      <c r="AT82" s="2741">
        <f>IF(Tabelle1!$AO$16=1,N_Bedarf!AS82,N_Bedarf!AV82)</f>
        <v>210</v>
      </c>
      <c r="AU82" s="1991">
        <v>210</v>
      </c>
      <c r="AV82" s="1991">
        <v>210</v>
      </c>
      <c r="AW82" s="1968"/>
      <c r="AX82" s="2008" t="s">
        <v>1036</v>
      </c>
      <c r="AY82" s="760"/>
      <c r="AZ82" s="1971" t="s">
        <v>1994</v>
      </c>
      <c r="BA82" s="2516">
        <v>120</v>
      </c>
      <c r="BB82" s="2516">
        <v>120</v>
      </c>
      <c r="BC82" s="2516">
        <v>120</v>
      </c>
      <c r="BD82" s="2516">
        <v>120</v>
      </c>
      <c r="BE82" s="2516">
        <v>120</v>
      </c>
      <c r="BF82" s="1934"/>
      <c r="BG82" s="1971" t="s">
        <v>1994</v>
      </c>
      <c r="BH82" s="2519">
        <v>340</v>
      </c>
      <c r="BI82" s="2519">
        <v>340</v>
      </c>
      <c r="BJ82" s="2519">
        <v>340</v>
      </c>
      <c r="BK82" s="2519">
        <v>340</v>
      </c>
      <c r="BL82" s="2519">
        <v>340</v>
      </c>
      <c r="BM82" s="2392"/>
      <c r="BN82" s="2392"/>
      <c r="BO82" s="760"/>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row>
    <row r="83" spans="1:258" ht="21" customHeight="1" thickBot="1">
      <c r="A83" s="760"/>
      <c r="C83" s="2958"/>
      <c r="D83" s="2557" t="s">
        <v>2018</v>
      </c>
      <c r="E83" s="2523" t="s">
        <v>226</v>
      </c>
      <c r="F83" s="2567"/>
      <c r="G83" s="2816" t="s">
        <v>226</v>
      </c>
      <c r="H83" s="2567"/>
      <c r="I83" s="2816" t="s">
        <v>2152</v>
      </c>
      <c r="J83" s="2567">
        <v>280</v>
      </c>
      <c r="K83" s="2148">
        <v>210</v>
      </c>
      <c r="L83" s="2149">
        <v>210</v>
      </c>
      <c r="M83" s="2605"/>
      <c r="N83" s="2606"/>
      <c r="O83" s="2607">
        <v>180</v>
      </c>
      <c r="P83" s="2605"/>
      <c r="Q83" s="2606"/>
      <c r="R83" s="2607">
        <v>150</v>
      </c>
      <c r="S83" s="2690"/>
      <c r="T83" s="2691"/>
      <c r="U83" s="2692">
        <v>120</v>
      </c>
      <c r="V83" s="2548" t="s">
        <v>2009</v>
      </c>
      <c r="W83" s="2604" t="s">
        <v>2009</v>
      </c>
      <c r="X83" s="2585"/>
      <c r="Y83" s="2586"/>
      <c r="Z83" s="2587">
        <v>510</v>
      </c>
      <c r="AA83" s="2585"/>
      <c r="AB83" s="2588"/>
      <c r="AC83" s="2589">
        <v>425</v>
      </c>
      <c r="AD83" s="2590"/>
      <c r="AE83" s="2581"/>
      <c r="AF83" s="2577">
        <v>340</v>
      </c>
      <c r="AG83" s="2583" t="s">
        <v>2009</v>
      </c>
      <c r="AH83" s="2584" t="s">
        <v>2009</v>
      </c>
      <c r="AI83" s="760"/>
      <c r="AJ83" s="760"/>
      <c r="AK83" s="760"/>
      <c r="AL83" s="760"/>
      <c r="AM83" s="1108"/>
      <c r="AN83" s="1108"/>
      <c r="AO83" s="2005" t="s">
        <v>1071</v>
      </c>
      <c r="AP83" s="1991">
        <v>40</v>
      </c>
      <c r="AQ83" s="1966">
        <v>40</v>
      </c>
      <c r="AR83" s="2741">
        <f>IF(Tabelle1!$AO$16=1,N_Bedarf!AQ83,N_Bedarf!AU83)</f>
        <v>60</v>
      </c>
      <c r="AS83" s="1966">
        <v>60</v>
      </c>
      <c r="AT83" s="2741">
        <f>IF(Tabelle1!$AO$16=1,N_Bedarf!AS83,N_Bedarf!AV83)</f>
        <v>60</v>
      </c>
      <c r="AU83" s="1991">
        <v>60</v>
      </c>
      <c r="AV83" s="1991">
        <v>60</v>
      </c>
      <c r="AW83" s="1968"/>
      <c r="AX83" s="2008" t="s">
        <v>1036</v>
      </c>
      <c r="AY83" s="760"/>
      <c r="AZ83" s="1972" t="s">
        <v>1071</v>
      </c>
      <c r="BA83" s="2516">
        <v>30</v>
      </c>
      <c r="BB83" s="2516">
        <v>45</v>
      </c>
      <c r="BC83" s="2516">
        <v>45</v>
      </c>
      <c r="BD83" s="2516">
        <v>45</v>
      </c>
      <c r="BE83" s="2516">
        <v>45</v>
      </c>
      <c r="BF83" s="1934"/>
      <c r="BG83" s="1972" t="s">
        <v>1071</v>
      </c>
      <c r="BH83" s="2502">
        <v>80</v>
      </c>
      <c r="BI83" s="2505">
        <v>120</v>
      </c>
      <c r="BJ83" s="2505">
        <v>120</v>
      </c>
      <c r="BK83" s="2505">
        <v>120</v>
      </c>
      <c r="BL83" s="2505">
        <v>120</v>
      </c>
      <c r="BM83" s="2392"/>
      <c r="BN83" s="2392"/>
      <c r="BO83" s="760"/>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row>
    <row r="84" spans="1:258" ht="21" customHeight="1">
      <c r="A84" s="760"/>
      <c r="C84" s="3001" t="s">
        <v>2141</v>
      </c>
      <c r="D84" s="2559" t="s">
        <v>2008</v>
      </c>
      <c r="E84" s="2523" t="s">
        <v>1044</v>
      </c>
      <c r="F84" s="2567">
        <v>15</v>
      </c>
      <c r="G84" s="2816" t="s">
        <v>1092</v>
      </c>
      <c r="H84" s="2567">
        <v>25</v>
      </c>
      <c r="I84" s="2816" t="s">
        <v>226</v>
      </c>
      <c r="J84" s="2567"/>
      <c r="K84" s="2148">
        <v>25</v>
      </c>
      <c r="L84" s="2149">
        <v>25</v>
      </c>
      <c r="M84" s="2605">
        <v>25</v>
      </c>
      <c r="N84" s="2606">
        <v>45</v>
      </c>
      <c r="O84" s="2607"/>
      <c r="P84" s="2605">
        <v>20</v>
      </c>
      <c r="Q84" s="2606">
        <v>40</v>
      </c>
      <c r="R84" s="2607"/>
      <c r="S84" s="2690">
        <v>15</v>
      </c>
      <c r="T84" s="2691">
        <v>30</v>
      </c>
      <c r="U84" s="2692"/>
      <c r="V84" s="2548" t="s">
        <v>2009</v>
      </c>
      <c r="W84" s="2604" t="s">
        <v>2009</v>
      </c>
      <c r="X84" s="2585">
        <v>70</v>
      </c>
      <c r="Y84" s="2586">
        <v>120</v>
      </c>
      <c r="Z84" s="2587"/>
      <c r="AA84" s="2585">
        <v>55</v>
      </c>
      <c r="AB84" s="2588">
        <v>100</v>
      </c>
      <c r="AC84" s="2589"/>
      <c r="AD84" s="2590">
        <v>45</v>
      </c>
      <c r="AE84" s="2581">
        <v>80</v>
      </c>
      <c r="AF84" s="2577"/>
      <c r="AG84" s="2583" t="s">
        <v>2009</v>
      </c>
      <c r="AH84" s="2584" t="s">
        <v>2009</v>
      </c>
      <c r="AI84" s="760"/>
      <c r="AJ84" s="760"/>
      <c r="AK84" s="760"/>
      <c r="AL84" s="760"/>
      <c r="AM84" s="1108"/>
      <c r="AN84" s="1108"/>
      <c r="AO84" s="2520" t="s">
        <v>2038</v>
      </c>
      <c r="AP84" s="1991">
        <v>20</v>
      </c>
      <c r="AQ84" s="1966">
        <v>30</v>
      </c>
      <c r="AR84" s="2741">
        <f>IF(Tabelle1!$AO$16=1,N_Bedarf!AQ84,N_Bedarf!AU84)</f>
        <v>30</v>
      </c>
      <c r="AS84" s="1966">
        <v>30</v>
      </c>
      <c r="AT84" s="2741">
        <f>IF(Tabelle1!$AO$16=1,N_Bedarf!AS84,N_Bedarf!AV84)</f>
        <v>30</v>
      </c>
      <c r="AU84" s="1991">
        <v>30</v>
      </c>
      <c r="AV84" s="1991">
        <v>30</v>
      </c>
      <c r="AW84" s="1968"/>
      <c r="AX84" s="2008"/>
      <c r="AY84" s="760"/>
      <c r="AZ84" s="1972" t="s">
        <v>2038</v>
      </c>
      <c r="BA84" s="2516">
        <v>15</v>
      </c>
      <c r="BB84" s="2516">
        <v>30</v>
      </c>
      <c r="BC84" s="2516">
        <v>30</v>
      </c>
      <c r="BD84" s="2516">
        <v>30</v>
      </c>
      <c r="BE84" s="2516">
        <v>30</v>
      </c>
      <c r="BF84" s="1934"/>
      <c r="BG84" s="1972" t="s">
        <v>2038</v>
      </c>
      <c r="BH84" s="2502" t="s">
        <v>2076</v>
      </c>
      <c r="BI84" s="2505">
        <v>35</v>
      </c>
      <c r="BJ84" s="2505">
        <v>35</v>
      </c>
      <c r="BK84" s="2505">
        <v>35</v>
      </c>
      <c r="BL84" s="2505">
        <v>35</v>
      </c>
      <c r="BM84" s="2392"/>
      <c r="BN84" s="2392"/>
      <c r="BO84" s="760"/>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row>
    <row r="85" spans="1:258" ht="21" customHeight="1">
      <c r="A85" s="760"/>
      <c r="C85" s="3001"/>
      <c r="D85" s="2556" t="s">
        <v>2010</v>
      </c>
      <c r="E85" s="2523" t="s">
        <v>2011</v>
      </c>
      <c r="F85" s="2567">
        <v>45</v>
      </c>
      <c r="G85" s="2816" t="s">
        <v>2153</v>
      </c>
      <c r="H85" s="2567">
        <v>70</v>
      </c>
      <c r="I85" s="2816" t="s">
        <v>226</v>
      </c>
      <c r="J85" s="2567"/>
      <c r="K85" s="2148">
        <v>70</v>
      </c>
      <c r="L85" s="2149">
        <v>70</v>
      </c>
      <c r="M85" s="2605">
        <v>45</v>
      </c>
      <c r="N85" s="2606">
        <v>70</v>
      </c>
      <c r="O85" s="2607"/>
      <c r="P85" s="2605">
        <v>40</v>
      </c>
      <c r="Q85" s="2606">
        <v>55</v>
      </c>
      <c r="R85" s="2607"/>
      <c r="S85" s="2690">
        <v>30</v>
      </c>
      <c r="T85" s="2691">
        <v>45</v>
      </c>
      <c r="U85" s="2692"/>
      <c r="V85" s="2548" t="s">
        <v>2009</v>
      </c>
      <c r="W85" s="2604" t="s">
        <v>2009</v>
      </c>
      <c r="X85" s="2585">
        <v>120</v>
      </c>
      <c r="Y85" s="2586">
        <v>180</v>
      </c>
      <c r="Z85" s="2587"/>
      <c r="AA85" s="2585">
        <v>100</v>
      </c>
      <c r="AB85" s="2588">
        <v>150</v>
      </c>
      <c r="AC85" s="2589"/>
      <c r="AD85" s="2590">
        <v>80</v>
      </c>
      <c r="AE85" s="2581">
        <v>120</v>
      </c>
      <c r="AF85" s="2577"/>
      <c r="AG85" s="2583" t="s">
        <v>2009</v>
      </c>
      <c r="AH85" s="2584" t="s">
        <v>2009</v>
      </c>
      <c r="AI85" s="760"/>
      <c r="AJ85" s="760"/>
      <c r="AK85" s="760"/>
      <c r="AL85" s="760"/>
      <c r="AM85" s="760"/>
      <c r="AN85" s="760"/>
      <c r="AO85" s="2006" t="s">
        <v>2072</v>
      </c>
      <c r="AP85" s="1991">
        <v>60</v>
      </c>
      <c r="AQ85" s="1966">
        <v>100</v>
      </c>
      <c r="AR85" s="2741">
        <f>IF(Tabelle1!$AO$16=1,N_Bedarf!AQ85,N_Bedarf!AU85)</f>
        <v>100</v>
      </c>
      <c r="AS85" s="1966">
        <v>140</v>
      </c>
      <c r="AT85" s="2741">
        <f>IF(Tabelle1!$AO$16=1,N_Bedarf!AS85,N_Bedarf!AV85)</f>
        <v>140</v>
      </c>
      <c r="AU85" s="1991">
        <v>100</v>
      </c>
      <c r="AV85" s="1991">
        <v>140</v>
      </c>
      <c r="AW85" s="1968"/>
      <c r="AX85" s="2008" t="s">
        <v>1036</v>
      </c>
      <c r="AY85" s="760"/>
      <c r="AZ85" s="2006" t="s">
        <v>2072</v>
      </c>
      <c r="BA85" s="2516">
        <v>30</v>
      </c>
      <c r="BB85" s="2515">
        <v>55</v>
      </c>
      <c r="BC85" s="2515">
        <v>80</v>
      </c>
      <c r="BD85" s="2515">
        <v>80</v>
      </c>
      <c r="BE85" s="2515">
        <v>80</v>
      </c>
      <c r="BF85" s="1934"/>
      <c r="BG85" s="2006" t="s">
        <v>2072</v>
      </c>
      <c r="BH85" s="2498" t="s">
        <v>2073</v>
      </c>
      <c r="BI85" s="2515">
        <v>145</v>
      </c>
      <c r="BJ85" s="2497">
        <v>215</v>
      </c>
      <c r="BK85" s="2497">
        <v>215</v>
      </c>
      <c r="BL85" s="2497">
        <v>215</v>
      </c>
      <c r="BM85" s="2392"/>
      <c r="BN85" s="2392"/>
      <c r="BO85" s="760"/>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row>
    <row r="86" spans="1:258" ht="21" customHeight="1">
      <c r="A86" s="1012"/>
      <c r="B86" s="1012"/>
      <c r="C86" s="3001"/>
      <c r="D86" s="2556" t="s">
        <v>2012</v>
      </c>
      <c r="E86" s="2523" t="s">
        <v>2013</v>
      </c>
      <c r="F86" s="2567">
        <v>80</v>
      </c>
      <c r="G86" s="2816" t="s">
        <v>2014</v>
      </c>
      <c r="H86" s="2567">
        <v>90</v>
      </c>
      <c r="I86" s="2816" t="s">
        <v>1020</v>
      </c>
      <c r="J86" s="2567">
        <v>115</v>
      </c>
      <c r="K86" s="2148">
        <v>90</v>
      </c>
      <c r="L86" s="2149">
        <v>105</v>
      </c>
      <c r="M86" s="2605">
        <v>70</v>
      </c>
      <c r="N86" s="2606">
        <v>100</v>
      </c>
      <c r="O86" s="2607">
        <v>120</v>
      </c>
      <c r="P86" s="2605">
        <v>55</v>
      </c>
      <c r="Q86" s="2606">
        <v>80</v>
      </c>
      <c r="R86" s="2607">
        <v>100</v>
      </c>
      <c r="S86" s="2690">
        <v>45</v>
      </c>
      <c r="T86" s="2691">
        <v>65</v>
      </c>
      <c r="U86" s="2692">
        <v>80</v>
      </c>
      <c r="V86" s="2548" t="s">
        <v>2009</v>
      </c>
      <c r="W86" s="2604" t="s">
        <v>2009</v>
      </c>
      <c r="X86" s="2585">
        <v>195</v>
      </c>
      <c r="Y86" s="2586">
        <v>255</v>
      </c>
      <c r="Z86" s="2587">
        <v>325</v>
      </c>
      <c r="AA86" s="2585">
        <v>165</v>
      </c>
      <c r="AB86" s="2588">
        <v>215</v>
      </c>
      <c r="AC86" s="2589">
        <v>270</v>
      </c>
      <c r="AD86" s="2590">
        <v>130</v>
      </c>
      <c r="AE86" s="2581">
        <v>170</v>
      </c>
      <c r="AF86" s="2577">
        <v>215</v>
      </c>
      <c r="AG86" s="2583" t="s">
        <v>2009</v>
      </c>
      <c r="AH86" s="2584" t="s">
        <v>2009</v>
      </c>
      <c r="AI86" s="760"/>
      <c r="AJ86" s="760"/>
      <c r="AK86" s="760"/>
      <c r="AL86" s="760"/>
      <c r="AM86" s="760"/>
      <c r="AN86" s="760"/>
      <c r="AO86" s="2006" t="s">
        <v>1072</v>
      </c>
      <c r="AP86" s="1991">
        <v>20</v>
      </c>
      <c r="AQ86" s="1966">
        <v>30</v>
      </c>
      <c r="AR86" s="2741">
        <f>IF(Tabelle1!$AO$16=1,N_Bedarf!AQ86,N_Bedarf!AU86)</f>
        <v>30</v>
      </c>
      <c r="AS86" s="1966">
        <v>30</v>
      </c>
      <c r="AT86" s="2741">
        <f>IF(Tabelle1!$AO$16=1,N_Bedarf!AS86,N_Bedarf!AV86)</f>
        <v>30</v>
      </c>
      <c r="AU86" s="1991">
        <v>30</v>
      </c>
      <c r="AV86" s="1991">
        <v>30</v>
      </c>
      <c r="AW86" s="1968"/>
      <c r="AX86" s="2008" t="s">
        <v>1036</v>
      </c>
      <c r="AY86" s="760"/>
      <c r="AZ86" s="1973" t="s">
        <v>1072</v>
      </c>
      <c r="BA86" s="2516">
        <v>10</v>
      </c>
      <c r="BB86" s="2516">
        <v>20</v>
      </c>
      <c r="BC86" s="2516">
        <v>20</v>
      </c>
      <c r="BD86" s="2516">
        <v>20</v>
      </c>
      <c r="BE86" s="2516">
        <v>20</v>
      </c>
      <c r="BF86" s="1934"/>
      <c r="BG86" s="1973" t="s">
        <v>1072</v>
      </c>
      <c r="BH86" s="2502">
        <v>20</v>
      </c>
      <c r="BI86" s="2505">
        <v>40</v>
      </c>
      <c r="BJ86" s="2505">
        <v>40</v>
      </c>
      <c r="BK86" s="2505">
        <v>40</v>
      </c>
      <c r="BL86" s="2505">
        <v>40</v>
      </c>
      <c r="BM86" s="2392"/>
      <c r="BN86" s="760"/>
      <c r="BO86" s="760"/>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row>
    <row r="87" spans="1:258" ht="21" customHeight="1">
      <c r="A87" s="760"/>
      <c r="C87" s="3001"/>
      <c r="D87" s="2556" t="s">
        <v>2015</v>
      </c>
      <c r="E87" s="2523" t="s">
        <v>226</v>
      </c>
      <c r="F87" s="2567"/>
      <c r="G87" s="2816" t="s">
        <v>1081</v>
      </c>
      <c r="H87" s="2567">
        <v>120</v>
      </c>
      <c r="I87" s="2816" t="s">
        <v>1822</v>
      </c>
      <c r="J87" s="2567">
        <v>150</v>
      </c>
      <c r="K87" s="2148">
        <v>120</v>
      </c>
      <c r="L87" s="2149">
        <v>145</v>
      </c>
      <c r="M87" s="2605"/>
      <c r="N87" s="2606">
        <v>120</v>
      </c>
      <c r="O87" s="2607">
        <v>135</v>
      </c>
      <c r="P87" s="2605"/>
      <c r="Q87" s="2606">
        <v>100</v>
      </c>
      <c r="R87" s="2607">
        <v>115</v>
      </c>
      <c r="S87" s="2690"/>
      <c r="T87" s="2691">
        <v>80</v>
      </c>
      <c r="U87" s="2692">
        <v>90</v>
      </c>
      <c r="V87" s="2548" t="s">
        <v>2009</v>
      </c>
      <c r="W87" s="2604" t="s">
        <v>2009</v>
      </c>
      <c r="X87" s="2585"/>
      <c r="Y87" s="2586">
        <v>310</v>
      </c>
      <c r="Z87" s="2587">
        <v>390</v>
      </c>
      <c r="AA87" s="2585"/>
      <c r="AB87" s="2588">
        <v>255</v>
      </c>
      <c r="AC87" s="2589">
        <v>325</v>
      </c>
      <c r="AD87" s="2590"/>
      <c r="AE87" s="2581">
        <v>205</v>
      </c>
      <c r="AF87" s="2577">
        <v>260</v>
      </c>
      <c r="AG87" s="2583" t="s">
        <v>2009</v>
      </c>
      <c r="AH87" s="2584" t="s">
        <v>2009</v>
      </c>
      <c r="AI87" s="760"/>
      <c r="AJ87" s="760"/>
      <c r="AK87" s="760"/>
      <c r="AL87" s="760"/>
      <c r="AM87" s="760"/>
      <c r="AN87" s="760"/>
      <c r="AO87" s="2006" t="s">
        <v>1075</v>
      </c>
      <c r="AP87" s="1991">
        <v>20</v>
      </c>
      <c r="AQ87" s="1966">
        <v>30</v>
      </c>
      <c r="AR87" s="2741">
        <f>IF(Tabelle1!$AO$16=1,N_Bedarf!AQ87,N_Bedarf!AU87)</f>
        <v>30</v>
      </c>
      <c r="AS87" s="1966">
        <v>30</v>
      </c>
      <c r="AT87" s="2741">
        <f>IF(Tabelle1!$AO$16=1,N_Bedarf!AS87,N_Bedarf!AV87)</f>
        <v>30</v>
      </c>
      <c r="AU87" s="1991">
        <v>30</v>
      </c>
      <c r="AV87" s="1991">
        <v>30</v>
      </c>
      <c r="AW87" s="1968"/>
      <c r="AX87" s="2008" t="s">
        <v>1036</v>
      </c>
      <c r="AY87" s="760"/>
      <c r="AZ87" s="1973" t="s">
        <v>1075</v>
      </c>
      <c r="BA87" s="2516">
        <v>15</v>
      </c>
      <c r="BB87" s="2516">
        <v>30</v>
      </c>
      <c r="BC87" s="2516">
        <v>30</v>
      </c>
      <c r="BD87" s="2516">
        <v>30</v>
      </c>
      <c r="BE87" s="2516">
        <v>30</v>
      </c>
      <c r="BF87" s="1934"/>
      <c r="BG87" s="1973" t="s">
        <v>1075</v>
      </c>
      <c r="BH87" s="2502">
        <v>45</v>
      </c>
      <c r="BI87" s="2505">
        <v>80</v>
      </c>
      <c r="BJ87" s="2505">
        <v>80</v>
      </c>
      <c r="BK87" s="2505">
        <v>80</v>
      </c>
      <c r="BL87" s="2505">
        <v>80</v>
      </c>
      <c r="BM87" s="2392"/>
      <c r="BN87" s="760"/>
      <c r="BO87" s="760"/>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row>
    <row r="88" spans="1:258" ht="21" customHeight="1">
      <c r="A88" s="760"/>
      <c r="C88" s="3001"/>
      <c r="D88" s="2556" t="s">
        <v>2016</v>
      </c>
      <c r="E88" s="2523" t="s">
        <v>226</v>
      </c>
      <c r="F88" s="2567"/>
      <c r="G88" s="2816" t="s">
        <v>2017</v>
      </c>
      <c r="H88" s="2567">
        <v>160</v>
      </c>
      <c r="I88" s="2816" t="s">
        <v>2151</v>
      </c>
      <c r="J88" s="2567">
        <v>190</v>
      </c>
      <c r="K88" s="2148">
        <v>160</v>
      </c>
      <c r="L88" s="2149">
        <v>160</v>
      </c>
      <c r="M88" s="2605"/>
      <c r="N88" s="2606">
        <v>130</v>
      </c>
      <c r="O88" s="2607">
        <v>160</v>
      </c>
      <c r="P88" s="2605"/>
      <c r="Q88" s="2606">
        <v>105</v>
      </c>
      <c r="R88" s="2607">
        <v>130</v>
      </c>
      <c r="S88" s="2690"/>
      <c r="T88" s="2691">
        <v>85</v>
      </c>
      <c r="U88" s="2692">
        <v>105</v>
      </c>
      <c r="V88" s="2548" t="s">
        <v>2009</v>
      </c>
      <c r="W88" s="2604" t="s">
        <v>2009</v>
      </c>
      <c r="X88" s="2585"/>
      <c r="Y88" s="2586">
        <v>345</v>
      </c>
      <c r="Z88" s="2587">
        <v>450</v>
      </c>
      <c r="AA88" s="2585"/>
      <c r="AB88" s="2588">
        <v>290</v>
      </c>
      <c r="AC88" s="2589">
        <v>375</v>
      </c>
      <c r="AD88" s="2590"/>
      <c r="AE88" s="2581">
        <v>230</v>
      </c>
      <c r="AF88" s="2577">
        <v>300</v>
      </c>
      <c r="AG88" s="2583" t="s">
        <v>2009</v>
      </c>
      <c r="AH88" s="2584" t="s">
        <v>2009</v>
      </c>
      <c r="AI88" s="760"/>
      <c r="AJ88" s="760"/>
      <c r="AK88" s="760"/>
      <c r="AL88" s="760"/>
      <c r="AM88" s="760"/>
      <c r="AN88" s="760"/>
      <c r="AO88" s="2006" t="s">
        <v>1076</v>
      </c>
      <c r="AP88" s="1991">
        <v>0</v>
      </c>
      <c r="AQ88" s="1966">
        <v>0</v>
      </c>
      <c r="AR88" s="2741">
        <f>IF(N_Bedarf!$AO$16=1,N_Bedarf!AQ88,N_Bedarf!AU88)</f>
        <v>0</v>
      </c>
      <c r="AS88" s="1966">
        <v>0</v>
      </c>
      <c r="AT88" s="2741">
        <f>IF(Tabelle1!$AO$16=1,N_Bedarf!AS88,N_Bedarf!AV88)</f>
        <v>0</v>
      </c>
      <c r="AU88" s="1991">
        <v>0</v>
      </c>
      <c r="AV88" s="1991">
        <v>0</v>
      </c>
      <c r="AW88" s="1968"/>
      <c r="AX88" s="2008" t="s">
        <v>1036</v>
      </c>
      <c r="AY88" s="760"/>
      <c r="AZ88" s="1973" t="s">
        <v>1076</v>
      </c>
      <c r="BA88" s="2516">
        <v>0</v>
      </c>
      <c r="BB88" s="2516">
        <v>0</v>
      </c>
      <c r="BC88" s="2516">
        <v>0</v>
      </c>
      <c r="BD88" s="2516"/>
      <c r="BE88" s="2516"/>
      <c r="BF88" s="1934"/>
      <c r="BG88" s="1973" t="s">
        <v>1076</v>
      </c>
      <c r="BH88" s="2502">
        <v>0</v>
      </c>
      <c r="BI88" s="2505">
        <v>0</v>
      </c>
      <c r="BJ88" s="2505">
        <v>0</v>
      </c>
      <c r="BK88" s="2505"/>
      <c r="BL88" s="2505"/>
      <c r="BM88" s="2395"/>
      <c r="BN88" s="760"/>
      <c r="BO88" s="760"/>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row>
    <row r="89" spans="1:258" ht="21" customHeight="1" thickBot="1">
      <c r="A89" s="760"/>
      <c r="C89" s="3006"/>
      <c r="D89" s="2558" t="s">
        <v>2018</v>
      </c>
      <c r="E89" s="2523" t="s">
        <v>226</v>
      </c>
      <c r="F89" s="2567"/>
      <c r="G89" s="2816" t="s">
        <v>226</v>
      </c>
      <c r="H89" s="2567"/>
      <c r="I89" s="2816" t="s">
        <v>2152</v>
      </c>
      <c r="J89" s="2567">
        <v>210</v>
      </c>
      <c r="K89" s="2148">
        <v>160</v>
      </c>
      <c r="L89" s="2149">
        <v>160</v>
      </c>
      <c r="M89" s="2605"/>
      <c r="N89" s="2606"/>
      <c r="O89" s="2607">
        <v>180</v>
      </c>
      <c r="P89" s="2605"/>
      <c r="Q89" s="2606"/>
      <c r="R89" s="2607">
        <v>150</v>
      </c>
      <c r="S89" s="2690"/>
      <c r="T89" s="2691"/>
      <c r="U89" s="2692">
        <v>120</v>
      </c>
      <c r="V89" s="2548" t="s">
        <v>2009</v>
      </c>
      <c r="W89" s="2604" t="s">
        <v>2009</v>
      </c>
      <c r="X89" s="2585"/>
      <c r="Y89" s="2586"/>
      <c r="Z89" s="2587">
        <v>510</v>
      </c>
      <c r="AA89" s="2585"/>
      <c r="AB89" s="2588"/>
      <c r="AC89" s="2589">
        <v>425</v>
      </c>
      <c r="AD89" s="2590"/>
      <c r="AE89" s="2581"/>
      <c r="AF89" s="2577">
        <v>340</v>
      </c>
      <c r="AG89" s="2583" t="s">
        <v>2009</v>
      </c>
      <c r="AH89" s="2584" t="s">
        <v>2009</v>
      </c>
      <c r="AI89" s="760"/>
      <c r="AJ89" s="760"/>
      <c r="AK89" s="760"/>
      <c r="AL89" s="760"/>
      <c r="AM89" s="1112"/>
      <c r="AN89" s="1112"/>
      <c r="AO89" s="1112"/>
      <c r="AP89" s="1112"/>
      <c r="AQ89" s="1112"/>
      <c r="AR89" s="1112"/>
      <c r="AS89" s="1112"/>
      <c r="AT89" s="1112"/>
      <c r="AU89" s="1112"/>
      <c r="AV89" s="1112"/>
      <c r="AW89" s="1112"/>
      <c r="AX89" s="1112"/>
      <c r="AY89" s="1112"/>
      <c r="AZ89" s="1112"/>
      <c r="BA89" s="1112"/>
      <c r="BB89" s="1112"/>
      <c r="BC89" s="1112"/>
      <c r="BD89" s="1112"/>
      <c r="BE89" s="1112"/>
      <c r="BF89" s="1112"/>
      <c r="BG89" s="1112"/>
      <c r="BH89" s="1112"/>
      <c r="BI89" s="1112"/>
      <c r="BJ89" s="1112"/>
      <c r="BK89" s="1112"/>
      <c r="BL89" s="1112"/>
      <c r="BM89" s="1112"/>
      <c r="BN89" s="1112"/>
      <c r="BO89" s="760"/>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row>
    <row r="90" spans="1:258" ht="21" customHeight="1">
      <c r="A90" s="760"/>
      <c r="C90" s="2956" t="s">
        <v>2140</v>
      </c>
      <c r="D90" s="2560" t="s">
        <v>2008</v>
      </c>
      <c r="E90" s="2523" t="s">
        <v>1044</v>
      </c>
      <c r="F90" s="2567">
        <v>15</v>
      </c>
      <c r="G90" s="2816" t="s">
        <v>1092</v>
      </c>
      <c r="H90" s="2567">
        <v>25</v>
      </c>
      <c r="I90" s="2816" t="s">
        <v>226</v>
      </c>
      <c r="J90" s="2567"/>
      <c r="K90" s="2148">
        <v>25</v>
      </c>
      <c r="L90" s="2149">
        <v>25</v>
      </c>
      <c r="M90" s="2605">
        <v>25</v>
      </c>
      <c r="N90" s="2606">
        <v>45</v>
      </c>
      <c r="O90" s="2607"/>
      <c r="P90" s="2605">
        <v>20</v>
      </c>
      <c r="Q90" s="2606">
        <v>40</v>
      </c>
      <c r="R90" s="2607"/>
      <c r="S90" s="2690">
        <v>15</v>
      </c>
      <c r="T90" s="2691">
        <v>30</v>
      </c>
      <c r="U90" s="2692"/>
      <c r="V90" s="2548" t="s">
        <v>2009</v>
      </c>
      <c r="W90" s="2604" t="s">
        <v>2009</v>
      </c>
      <c r="X90" s="2585">
        <v>70</v>
      </c>
      <c r="Y90" s="2586">
        <v>120</v>
      </c>
      <c r="Z90" s="2587"/>
      <c r="AA90" s="2585">
        <v>55</v>
      </c>
      <c r="AB90" s="2588">
        <v>100</v>
      </c>
      <c r="AC90" s="2589"/>
      <c r="AD90" s="2590">
        <v>45</v>
      </c>
      <c r="AE90" s="2581">
        <v>80</v>
      </c>
      <c r="AF90" s="2577"/>
      <c r="AG90" s="2583" t="s">
        <v>2009</v>
      </c>
      <c r="AH90" s="2584" t="s">
        <v>2009</v>
      </c>
      <c r="AI90" s="760"/>
      <c r="AJ90" s="760"/>
      <c r="AK90" s="760"/>
      <c r="AL90" s="760"/>
      <c r="AO90"/>
      <c r="AP90"/>
      <c r="AQ90"/>
      <c r="AR90"/>
      <c r="AS90"/>
      <c r="AT90"/>
      <c r="AU90"/>
      <c r="AV90"/>
      <c r="AW90"/>
      <c r="AX90"/>
      <c r="AY90"/>
      <c r="AZ90"/>
      <c r="BA90"/>
      <c r="BB90"/>
      <c r="BC90"/>
      <c r="BD90"/>
      <c r="BE90"/>
      <c r="BF90"/>
      <c r="BG90"/>
      <c r="BH90"/>
      <c r="BI90"/>
      <c r="BJ90"/>
      <c r="BK90"/>
      <c r="BL90"/>
      <c r="BM90"/>
      <c r="BN90" s="760"/>
      <c r="BO90" s="76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row>
    <row r="91" spans="1:258" ht="21" customHeight="1">
      <c r="A91" s="760"/>
      <c r="C91" s="2957"/>
      <c r="D91" s="2555" t="s">
        <v>2010</v>
      </c>
      <c r="E91" s="2523" t="s">
        <v>2011</v>
      </c>
      <c r="F91" s="2567">
        <v>45</v>
      </c>
      <c r="G91" s="2816" t="s">
        <v>2153</v>
      </c>
      <c r="H91" s="2567">
        <v>70</v>
      </c>
      <c r="I91" s="2816" t="s">
        <v>226</v>
      </c>
      <c r="J91" s="2567"/>
      <c r="K91" s="2148">
        <v>70</v>
      </c>
      <c r="L91" s="2149">
        <v>70</v>
      </c>
      <c r="M91" s="2605">
        <v>45</v>
      </c>
      <c r="N91" s="2606">
        <v>70</v>
      </c>
      <c r="O91" s="2607"/>
      <c r="P91" s="2605">
        <v>40</v>
      </c>
      <c r="Q91" s="2606">
        <v>55</v>
      </c>
      <c r="R91" s="2607"/>
      <c r="S91" s="2690">
        <v>30</v>
      </c>
      <c r="T91" s="2691">
        <v>45</v>
      </c>
      <c r="U91" s="2692"/>
      <c r="V91" s="2548" t="s">
        <v>2009</v>
      </c>
      <c r="W91" s="2604" t="s">
        <v>2009</v>
      </c>
      <c r="X91" s="2585">
        <v>120</v>
      </c>
      <c r="Y91" s="2586">
        <v>180</v>
      </c>
      <c r="Z91" s="2587"/>
      <c r="AA91" s="2585">
        <v>100</v>
      </c>
      <c r="AB91" s="2588">
        <v>150</v>
      </c>
      <c r="AC91" s="2589"/>
      <c r="AD91" s="2590">
        <v>80</v>
      </c>
      <c r="AE91" s="2581">
        <v>120</v>
      </c>
      <c r="AF91" s="2577"/>
      <c r="AG91" s="2583" t="s">
        <v>2009</v>
      </c>
      <c r="AH91" s="2584" t="s">
        <v>2009</v>
      </c>
      <c r="AI91" s="760"/>
      <c r="AJ91" s="760"/>
      <c r="AK91" s="760"/>
      <c r="AL91" s="760"/>
      <c r="AP91"/>
      <c r="AQ91"/>
      <c r="AR91"/>
      <c r="AS91"/>
      <c r="AT91"/>
      <c r="AU91"/>
      <c r="AV91"/>
      <c r="AW91"/>
      <c r="AX91"/>
      <c r="AY91"/>
      <c r="AZ91"/>
      <c r="BA91"/>
      <c r="BB91"/>
      <c r="BC91"/>
      <c r="BD91"/>
      <c r="BE91"/>
      <c r="BF91"/>
      <c r="BG91"/>
      <c r="BH91"/>
      <c r="BI91"/>
      <c r="BJ91"/>
      <c r="BK91"/>
      <c r="BL91"/>
      <c r="BM91"/>
      <c r="BN91" s="760"/>
      <c r="BO91" s="760"/>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row>
    <row r="92" spans="1:258" ht="21" customHeight="1">
      <c r="A92" s="760"/>
      <c r="C92" s="2957"/>
      <c r="D92" s="2555" t="s">
        <v>2012</v>
      </c>
      <c r="E92" s="2523" t="s">
        <v>2013</v>
      </c>
      <c r="F92" s="2567">
        <v>80</v>
      </c>
      <c r="G92" s="2816" t="s">
        <v>2014</v>
      </c>
      <c r="H92" s="2567">
        <v>90</v>
      </c>
      <c r="I92" s="2816" t="s">
        <v>1020</v>
      </c>
      <c r="J92" s="2567">
        <v>115</v>
      </c>
      <c r="K92" s="2148">
        <v>90</v>
      </c>
      <c r="L92" s="2149">
        <v>105</v>
      </c>
      <c r="M92" s="2605">
        <v>70</v>
      </c>
      <c r="N92" s="2606">
        <v>100</v>
      </c>
      <c r="O92" s="2607">
        <v>120</v>
      </c>
      <c r="P92" s="2605">
        <v>55</v>
      </c>
      <c r="Q92" s="2606">
        <v>80</v>
      </c>
      <c r="R92" s="2607">
        <v>100</v>
      </c>
      <c r="S92" s="2690">
        <v>45</v>
      </c>
      <c r="T92" s="2691">
        <v>65</v>
      </c>
      <c r="U92" s="2692">
        <v>80</v>
      </c>
      <c r="V92" s="2548" t="s">
        <v>2009</v>
      </c>
      <c r="W92" s="2604" t="s">
        <v>2009</v>
      </c>
      <c r="X92" s="2585">
        <v>195</v>
      </c>
      <c r="Y92" s="2586">
        <v>255</v>
      </c>
      <c r="Z92" s="2587">
        <v>325</v>
      </c>
      <c r="AA92" s="2585">
        <v>165</v>
      </c>
      <c r="AB92" s="2588">
        <v>215</v>
      </c>
      <c r="AC92" s="2589">
        <v>270</v>
      </c>
      <c r="AD92" s="2590">
        <v>130</v>
      </c>
      <c r="AE92" s="2581">
        <v>170</v>
      </c>
      <c r="AF92" s="2577">
        <v>215</v>
      </c>
      <c r="AG92" s="2583" t="s">
        <v>2009</v>
      </c>
      <c r="AH92" s="2584" t="s">
        <v>2009</v>
      </c>
      <c r="AI92" s="760"/>
      <c r="AJ92" s="760"/>
      <c r="AK92" s="760"/>
      <c r="AL92" s="760"/>
      <c r="AP92"/>
      <c r="AQ92"/>
      <c r="AR92"/>
      <c r="AS92"/>
      <c r="AT92"/>
      <c r="AU92"/>
      <c r="AV92"/>
      <c r="AW92"/>
      <c r="AX92"/>
      <c r="AY92"/>
      <c r="AZ92"/>
      <c r="BA92"/>
      <c r="BB92"/>
      <c r="BC92"/>
      <c r="BD92"/>
      <c r="BE92"/>
      <c r="BF92"/>
      <c r="BG92"/>
      <c r="BH92"/>
      <c r="BI92"/>
      <c r="BJ92"/>
      <c r="BK92"/>
      <c r="BL92"/>
      <c r="BM92"/>
      <c r="BN92" s="760"/>
      <c r="BO92" s="760"/>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row>
    <row r="93" spans="1:258" ht="21" customHeight="1">
      <c r="A93" s="760"/>
      <c r="C93" s="2957"/>
      <c r="D93" s="2555" t="s">
        <v>2015</v>
      </c>
      <c r="E93" s="2523" t="s">
        <v>226</v>
      </c>
      <c r="F93" s="2567"/>
      <c r="G93" s="2816" t="s">
        <v>1081</v>
      </c>
      <c r="H93" s="2567">
        <v>120</v>
      </c>
      <c r="I93" s="2816" t="s">
        <v>1822</v>
      </c>
      <c r="J93" s="2567">
        <v>150</v>
      </c>
      <c r="K93" s="2148">
        <v>120</v>
      </c>
      <c r="L93" s="2149">
        <v>145</v>
      </c>
      <c r="M93" s="2605"/>
      <c r="N93" s="2606">
        <v>120</v>
      </c>
      <c r="O93" s="2607">
        <v>135</v>
      </c>
      <c r="P93" s="2605"/>
      <c r="Q93" s="2606">
        <v>100</v>
      </c>
      <c r="R93" s="2607">
        <v>115</v>
      </c>
      <c r="S93" s="2690"/>
      <c r="T93" s="2691">
        <v>80</v>
      </c>
      <c r="U93" s="2692">
        <v>90</v>
      </c>
      <c r="V93" s="2548" t="s">
        <v>2009</v>
      </c>
      <c r="W93" s="2604" t="s">
        <v>2009</v>
      </c>
      <c r="X93" s="2585"/>
      <c r="Y93" s="2586">
        <v>310</v>
      </c>
      <c r="Z93" s="2587">
        <v>390</v>
      </c>
      <c r="AA93" s="2585"/>
      <c r="AB93" s="2588">
        <v>255</v>
      </c>
      <c r="AC93" s="2589">
        <v>325</v>
      </c>
      <c r="AD93" s="2590"/>
      <c r="AE93" s="2581">
        <v>205</v>
      </c>
      <c r="AF93" s="2577">
        <v>260</v>
      </c>
      <c r="AG93" s="2583" t="s">
        <v>2009</v>
      </c>
      <c r="AH93" s="2584" t="s">
        <v>2009</v>
      </c>
      <c r="AI93" s="760"/>
      <c r="AJ93" s="760"/>
      <c r="AK93" s="760"/>
      <c r="AL93" s="760"/>
      <c r="AP93"/>
      <c r="BE93"/>
      <c r="BF93"/>
      <c r="BG93"/>
      <c r="BH93"/>
      <c r="BI93"/>
      <c r="BJ93"/>
      <c r="BK93"/>
      <c r="BL93"/>
      <c r="BM93"/>
      <c r="BN93" s="760"/>
      <c r="BO93" s="760"/>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row>
    <row r="94" spans="1:258" ht="21" customHeight="1">
      <c r="A94" s="760"/>
      <c r="C94" s="2957"/>
      <c r="D94" s="2555" t="s">
        <v>2016</v>
      </c>
      <c r="E94" s="2523" t="s">
        <v>226</v>
      </c>
      <c r="F94" s="2567"/>
      <c r="G94" s="2816" t="s">
        <v>2017</v>
      </c>
      <c r="H94" s="2567">
        <v>160</v>
      </c>
      <c r="I94" s="2816" t="s">
        <v>2151</v>
      </c>
      <c r="J94" s="2567">
        <v>180</v>
      </c>
      <c r="K94" s="2148">
        <v>160</v>
      </c>
      <c r="L94" s="2149">
        <v>160</v>
      </c>
      <c r="M94" s="2605"/>
      <c r="N94" s="2606">
        <v>130</v>
      </c>
      <c r="O94" s="2607">
        <v>160</v>
      </c>
      <c r="P94" s="2605"/>
      <c r="Q94" s="2606">
        <v>105</v>
      </c>
      <c r="R94" s="2607">
        <v>130</v>
      </c>
      <c r="S94" s="2690"/>
      <c r="T94" s="2691">
        <v>85</v>
      </c>
      <c r="U94" s="2692">
        <v>105</v>
      </c>
      <c r="V94" s="2548" t="s">
        <v>2009</v>
      </c>
      <c r="W94" s="2604" t="s">
        <v>2009</v>
      </c>
      <c r="X94" s="2585"/>
      <c r="Y94" s="2586">
        <v>345</v>
      </c>
      <c r="Z94" s="2587">
        <v>450</v>
      </c>
      <c r="AA94" s="2585"/>
      <c r="AB94" s="2588">
        <v>290</v>
      </c>
      <c r="AC94" s="2589">
        <v>375</v>
      </c>
      <c r="AD94" s="2590"/>
      <c r="AE94" s="2581">
        <v>230</v>
      </c>
      <c r="AF94" s="2577">
        <v>300</v>
      </c>
      <c r="AG94" s="2583" t="s">
        <v>2009</v>
      </c>
      <c r="AH94" s="2584" t="s">
        <v>2009</v>
      </c>
      <c r="AI94" s="760"/>
      <c r="AJ94" s="760"/>
      <c r="AK94" s="760"/>
      <c r="AL94" s="760"/>
      <c r="AP94"/>
      <c r="BE94"/>
      <c r="BF94"/>
      <c r="BG94"/>
      <c r="BH94"/>
      <c r="BI94"/>
      <c r="BJ94"/>
      <c r="BK94"/>
      <c r="BL94"/>
      <c r="BM94"/>
      <c r="BN94" s="760"/>
      <c r="BO94" s="760"/>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row>
    <row r="95" spans="1:258" ht="21" customHeight="1" thickBot="1">
      <c r="A95" s="760"/>
      <c r="C95" s="2958"/>
      <c r="D95" s="2557" t="s">
        <v>2018</v>
      </c>
      <c r="E95" s="2523" t="s">
        <v>226</v>
      </c>
      <c r="F95" s="2567"/>
      <c r="G95" s="2816" t="s">
        <v>226</v>
      </c>
      <c r="H95" s="2567"/>
      <c r="I95" s="2816" t="s">
        <v>2152</v>
      </c>
      <c r="J95" s="2567">
        <v>210</v>
      </c>
      <c r="K95" s="2148">
        <v>160</v>
      </c>
      <c r="L95" s="2149">
        <v>160</v>
      </c>
      <c r="M95" s="2605"/>
      <c r="N95" s="2606"/>
      <c r="O95" s="2607">
        <v>180</v>
      </c>
      <c r="P95" s="2605"/>
      <c r="Q95" s="2606"/>
      <c r="R95" s="2607">
        <v>150</v>
      </c>
      <c r="S95" s="2690"/>
      <c r="T95" s="2691"/>
      <c r="U95" s="2692">
        <v>120</v>
      </c>
      <c r="V95" s="2548" t="s">
        <v>2009</v>
      </c>
      <c r="W95" s="2604" t="s">
        <v>2009</v>
      </c>
      <c r="X95" s="2585"/>
      <c r="Y95" s="2586"/>
      <c r="Z95" s="2587">
        <v>510</v>
      </c>
      <c r="AA95" s="2585"/>
      <c r="AB95" s="2588"/>
      <c r="AC95" s="2589">
        <v>425</v>
      </c>
      <c r="AD95" s="2590"/>
      <c r="AE95" s="2581"/>
      <c r="AF95" s="2577">
        <v>340</v>
      </c>
      <c r="AG95" s="2583" t="s">
        <v>2009</v>
      </c>
      <c r="AH95" s="2584" t="s">
        <v>2009</v>
      </c>
      <c r="AI95" s="760"/>
      <c r="AJ95" s="760"/>
      <c r="AK95" s="760"/>
      <c r="AL95" s="760"/>
      <c r="AP95"/>
      <c r="BE95"/>
      <c r="BF95"/>
      <c r="BG95"/>
      <c r="BH95"/>
      <c r="BI95"/>
      <c r="BJ95"/>
      <c r="BK95"/>
      <c r="BL95"/>
      <c r="BM95"/>
      <c r="BN95" s="760"/>
      <c r="BO95" s="760"/>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row>
    <row r="96" spans="1:258" ht="21" customHeight="1">
      <c r="A96" s="760"/>
      <c r="C96" s="3001" t="s">
        <v>2139</v>
      </c>
      <c r="D96" s="2559" t="s">
        <v>2008</v>
      </c>
      <c r="E96" s="2523" t="s">
        <v>1044</v>
      </c>
      <c r="F96" s="2567">
        <v>15</v>
      </c>
      <c r="G96" s="2816" t="s">
        <v>1092</v>
      </c>
      <c r="H96" s="2567">
        <v>25</v>
      </c>
      <c r="I96" s="2816" t="s">
        <v>226</v>
      </c>
      <c r="J96" s="2567"/>
      <c r="K96" s="2742" t="s">
        <v>1819</v>
      </c>
      <c r="L96" s="2149" t="s">
        <v>1819</v>
      </c>
      <c r="M96" s="2605">
        <v>25</v>
      </c>
      <c r="N96" s="2606">
        <v>45</v>
      </c>
      <c r="O96" s="2607"/>
      <c r="P96" s="2605">
        <v>20</v>
      </c>
      <c r="Q96" s="2606">
        <v>40</v>
      </c>
      <c r="R96" s="2607"/>
      <c r="S96" s="2690">
        <v>15</v>
      </c>
      <c r="T96" s="2691">
        <v>30</v>
      </c>
      <c r="U96" s="2692"/>
      <c r="V96" s="2548" t="s">
        <v>2009</v>
      </c>
      <c r="W96" s="2604" t="s">
        <v>2009</v>
      </c>
      <c r="X96" s="2585">
        <v>70</v>
      </c>
      <c r="Y96" s="2586">
        <v>120</v>
      </c>
      <c r="Z96" s="2587"/>
      <c r="AA96" s="2585">
        <v>55</v>
      </c>
      <c r="AB96" s="2588">
        <v>100</v>
      </c>
      <c r="AC96" s="2589"/>
      <c r="AD96" s="2590">
        <v>45</v>
      </c>
      <c r="AE96" s="2581">
        <v>80</v>
      </c>
      <c r="AF96" s="2577"/>
      <c r="AG96" s="2583" t="s">
        <v>2009</v>
      </c>
      <c r="AH96" s="2584" t="s">
        <v>2009</v>
      </c>
      <c r="AI96" s="760"/>
      <c r="AJ96" s="760"/>
      <c r="AK96" s="760"/>
      <c r="AL96" s="760"/>
      <c r="AP96"/>
      <c r="BE96"/>
      <c r="BF96"/>
      <c r="BG96"/>
      <c r="BH96"/>
      <c r="BI96"/>
      <c r="BJ96"/>
      <c r="BK96"/>
      <c r="BL96"/>
      <c r="BM96"/>
      <c r="BN96" s="760"/>
      <c r="BO96" s="760"/>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row>
    <row r="97" spans="1:258" ht="21" customHeight="1">
      <c r="A97" s="760"/>
      <c r="C97" s="3002"/>
      <c r="D97" s="2556" t="s">
        <v>2010</v>
      </c>
      <c r="E97" s="2523" t="s">
        <v>2011</v>
      </c>
      <c r="F97" s="2567">
        <v>40</v>
      </c>
      <c r="G97" s="2816" t="s">
        <v>2153</v>
      </c>
      <c r="H97" s="2567">
        <v>40</v>
      </c>
      <c r="I97" s="2816" t="s">
        <v>226</v>
      </c>
      <c r="J97" s="2567"/>
      <c r="K97" s="2742" t="s">
        <v>1819</v>
      </c>
      <c r="L97" s="2149" t="s">
        <v>1819</v>
      </c>
      <c r="M97" s="2605">
        <v>45</v>
      </c>
      <c r="N97" s="2606">
        <v>70</v>
      </c>
      <c r="O97" s="2607"/>
      <c r="P97" s="2605">
        <v>40</v>
      </c>
      <c r="Q97" s="2606">
        <v>55</v>
      </c>
      <c r="R97" s="2607"/>
      <c r="S97" s="2690">
        <v>30</v>
      </c>
      <c r="T97" s="2691">
        <v>45</v>
      </c>
      <c r="U97" s="2692"/>
      <c r="V97" s="2548" t="s">
        <v>2009</v>
      </c>
      <c r="W97" s="2604" t="s">
        <v>2009</v>
      </c>
      <c r="X97" s="2585">
        <v>120</v>
      </c>
      <c r="Y97" s="2586">
        <v>180</v>
      </c>
      <c r="Z97" s="2587"/>
      <c r="AA97" s="2585">
        <v>100</v>
      </c>
      <c r="AB97" s="2588">
        <v>150</v>
      </c>
      <c r="AC97" s="2589"/>
      <c r="AD97" s="2590">
        <v>80</v>
      </c>
      <c r="AE97" s="2581">
        <v>120</v>
      </c>
      <c r="AF97" s="2577"/>
      <c r="AG97" s="2583" t="s">
        <v>2009</v>
      </c>
      <c r="AH97" s="2584" t="s">
        <v>2009</v>
      </c>
      <c r="AI97" s="760"/>
      <c r="AJ97" s="760"/>
      <c r="AK97" s="760"/>
      <c r="AL97" s="760"/>
      <c r="AP97"/>
      <c r="BE97"/>
      <c r="BF97"/>
      <c r="BG97"/>
      <c r="BH97"/>
      <c r="BI97"/>
      <c r="BJ97"/>
      <c r="BK97"/>
      <c r="BL97"/>
      <c r="BM97"/>
      <c r="BN97" s="760"/>
      <c r="BO97" s="760"/>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row>
    <row r="98" spans="1:258" ht="21" customHeight="1">
      <c r="A98" s="760"/>
      <c r="C98" s="3002"/>
      <c r="D98" s="2556" t="s">
        <v>2012</v>
      </c>
      <c r="E98" s="2523" t="s">
        <v>2013</v>
      </c>
      <c r="F98" s="2567">
        <v>40</v>
      </c>
      <c r="G98" s="2816" t="s">
        <v>2014</v>
      </c>
      <c r="H98" s="2567">
        <v>40</v>
      </c>
      <c r="I98" s="2816" t="s">
        <v>1020</v>
      </c>
      <c r="J98" s="2567">
        <v>40</v>
      </c>
      <c r="K98" s="2742" t="s">
        <v>1819</v>
      </c>
      <c r="L98" s="2149" t="s">
        <v>1819</v>
      </c>
      <c r="M98" s="2605">
        <v>70</v>
      </c>
      <c r="N98" s="2606">
        <v>100</v>
      </c>
      <c r="O98" s="2607">
        <v>120</v>
      </c>
      <c r="P98" s="2605">
        <v>55</v>
      </c>
      <c r="Q98" s="2606">
        <v>80</v>
      </c>
      <c r="R98" s="2607">
        <v>100</v>
      </c>
      <c r="S98" s="2690">
        <v>45</v>
      </c>
      <c r="T98" s="2691">
        <v>65</v>
      </c>
      <c r="U98" s="2692">
        <v>80</v>
      </c>
      <c r="V98" s="2548" t="s">
        <v>2009</v>
      </c>
      <c r="W98" s="2604" t="s">
        <v>2009</v>
      </c>
      <c r="X98" s="2585">
        <v>195</v>
      </c>
      <c r="Y98" s="2586">
        <v>255</v>
      </c>
      <c r="Z98" s="2587">
        <v>325</v>
      </c>
      <c r="AA98" s="2585">
        <v>165</v>
      </c>
      <c r="AB98" s="2588">
        <v>215</v>
      </c>
      <c r="AC98" s="2589">
        <v>270</v>
      </c>
      <c r="AD98" s="2590">
        <v>130</v>
      </c>
      <c r="AE98" s="2581">
        <v>170</v>
      </c>
      <c r="AF98" s="2577">
        <v>215</v>
      </c>
      <c r="AG98" s="2583" t="s">
        <v>2009</v>
      </c>
      <c r="AH98" s="2584" t="s">
        <v>2009</v>
      </c>
      <c r="AI98" s="760"/>
      <c r="AJ98" s="760"/>
      <c r="AK98" s="760"/>
      <c r="AL98" s="760"/>
      <c r="AP98"/>
      <c r="BE98"/>
      <c r="BF98"/>
      <c r="BG98"/>
      <c r="BH98"/>
      <c r="BI98"/>
      <c r="BJ98"/>
      <c r="BK98"/>
      <c r="BL98"/>
      <c r="BM98"/>
      <c r="BN98" s="760"/>
      <c r="BO98" s="760"/>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row>
    <row r="99" spans="1:258" ht="21" customHeight="1">
      <c r="A99" s="760"/>
      <c r="C99" s="3002"/>
      <c r="D99" s="2556" t="s">
        <v>2015</v>
      </c>
      <c r="E99" s="2523" t="s">
        <v>226</v>
      </c>
      <c r="F99" s="2567"/>
      <c r="G99" s="2816" t="s">
        <v>1081</v>
      </c>
      <c r="H99" s="2567">
        <v>40</v>
      </c>
      <c r="I99" s="2816" t="s">
        <v>1822</v>
      </c>
      <c r="J99" s="2567">
        <v>40</v>
      </c>
      <c r="K99" s="2742" t="s">
        <v>1819</v>
      </c>
      <c r="L99" s="2149" t="s">
        <v>1819</v>
      </c>
      <c r="M99" s="2605"/>
      <c r="N99" s="2606">
        <v>120</v>
      </c>
      <c r="O99" s="2607">
        <v>135</v>
      </c>
      <c r="P99" s="2605"/>
      <c r="Q99" s="2606">
        <v>100</v>
      </c>
      <c r="R99" s="2607">
        <v>115</v>
      </c>
      <c r="S99" s="2690"/>
      <c r="T99" s="2691">
        <v>80</v>
      </c>
      <c r="U99" s="2692">
        <v>90</v>
      </c>
      <c r="V99" s="2548" t="s">
        <v>2009</v>
      </c>
      <c r="W99" s="2604" t="s">
        <v>2009</v>
      </c>
      <c r="X99" s="2585"/>
      <c r="Y99" s="2586">
        <v>310</v>
      </c>
      <c r="Z99" s="2587">
        <v>390</v>
      </c>
      <c r="AA99" s="2585"/>
      <c r="AB99" s="2588">
        <v>255</v>
      </c>
      <c r="AC99" s="2589">
        <v>325</v>
      </c>
      <c r="AD99" s="2590"/>
      <c r="AE99" s="2581">
        <v>205</v>
      </c>
      <c r="AF99" s="2577">
        <v>260</v>
      </c>
      <c r="AG99" s="2583" t="s">
        <v>2009</v>
      </c>
      <c r="AH99" s="2584" t="s">
        <v>2009</v>
      </c>
      <c r="AI99" s="760"/>
      <c r="AJ99" s="760"/>
      <c r="AK99" s="760"/>
      <c r="AL99" s="760"/>
      <c r="AP99"/>
      <c r="BE99"/>
      <c r="BF99"/>
      <c r="BG99"/>
      <c r="BH99"/>
      <c r="BI99"/>
      <c r="BJ99"/>
      <c r="BK99"/>
      <c r="BL99"/>
      <c r="BM99"/>
      <c r="BN99" s="760"/>
      <c r="BO99" s="760"/>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row>
    <row r="100" spans="1:258" ht="21" customHeight="1">
      <c r="A100" s="760"/>
      <c r="C100" s="3002"/>
      <c r="D100" s="2556" t="s">
        <v>2016</v>
      </c>
      <c r="E100" s="2523" t="s">
        <v>226</v>
      </c>
      <c r="F100" s="2567"/>
      <c r="G100" s="2816" t="s">
        <v>2017</v>
      </c>
      <c r="H100" s="2567">
        <v>40</v>
      </c>
      <c r="I100" s="2816" t="s">
        <v>2151</v>
      </c>
      <c r="J100" s="2567">
        <v>40</v>
      </c>
      <c r="K100" s="2742" t="s">
        <v>1819</v>
      </c>
      <c r="L100" s="2149" t="s">
        <v>1819</v>
      </c>
      <c r="M100" s="2605"/>
      <c r="N100" s="2606">
        <v>130</v>
      </c>
      <c r="O100" s="2607">
        <v>160</v>
      </c>
      <c r="P100" s="2605"/>
      <c r="Q100" s="2606">
        <v>105</v>
      </c>
      <c r="R100" s="2607">
        <v>130</v>
      </c>
      <c r="S100" s="2690"/>
      <c r="T100" s="2691">
        <v>85</v>
      </c>
      <c r="U100" s="2692">
        <v>105</v>
      </c>
      <c r="V100" s="2548" t="s">
        <v>2009</v>
      </c>
      <c r="W100" s="2604" t="s">
        <v>2009</v>
      </c>
      <c r="X100" s="2585"/>
      <c r="Y100" s="2586">
        <v>345</v>
      </c>
      <c r="Z100" s="2587">
        <v>450</v>
      </c>
      <c r="AA100" s="2585"/>
      <c r="AB100" s="2588">
        <v>290</v>
      </c>
      <c r="AC100" s="2589">
        <v>375</v>
      </c>
      <c r="AD100" s="2590"/>
      <c r="AE100" s="2581">
        <v>230</v>
      </c>
      <c r="AF100" s="2577">
        <v>300</v>
      </c>
      <c r="AG100" s="2583" t="s">
        <v>2009</v>
      </c>
      <c r="AH100" s="2584" t="s">
        <v>2009</v>
      </c>
      <c r="AI100" s="760"/>
      <c r="AJ100" s="760"/>
      <c r="AK100" s="760"/>
      <c r="AL100" s="760"/>
      <c r="AP100"/>
      <c r="BE100"/>
      <c r="BF100"/>
      <c r="BG100"/>
      <c r="BH100"/>
      <c r="BI100"/>
      <c r="BJ100"/>
      <c r="BK100"/>
      <c r="BL100"/>
      <c r="BM100"/>
      <c r="BN100" s="760"/>
      <c r="BO100" s="76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row>
    <row r="101" spans="1:258" ht="21" customHeight="1" thickBot="1">
      <c r="A101" s="760"/>
      <c r="C101" s="3003"/>
      <c r="D101" s="2558" t="s">
        <v>2018</v>
      </c>
      <c r="E101" s="2523" t="s">
        <v>226</v>
      </c>
      <c r="F101" s="2567"/>
      <c r="G101" s="2816" t="s">
        <v>226</v>
      </c>
      <c r="H101" s="2567"/>
      <c r="I101" s="2816" t="s">
        <v>2152</v>
      </c>
      <c r="J101" s="2567">
        <v>40</v>
      </c>
      <c r="K101" s="2742" t="s">
        <v>1819</v>
      </c>
      <c r="L101" s="2149" t="s">
        <v>1819</v>
      </c>
      <c r="M101" s="2605"/>
      <c r="N101" s="2606"/>
      <c r="O101" s="2607">
        <v>180</v>
      </c>
      <c r="P101" s="2605"/>
      <c r="Q101" s="2606"/>
      <c r="R101" s="2607">
        <v>150</v>
      </c>
      <c r="S101" s="2690"/>
      <c r="T101" s="2691"/>
      <c r="U101" s="2692">
        <v>120</v>
      </c>
      <c r="V101" s="2548" t="s">
        <v>2009</v>
      </c>
      <c r="W101" s="2604" t="s">
        <v>2009</v>
      </c>
      <c r="X101" s="2585"/>
      <c r="Y101" s="2586"/>
      <c r="Z101" s="2587">
        <v>510</v>
      </c>
      <c r="AA101" s="2585"/>
      <c r="AB101" s="2588"/>
      <c r="AC101" s="2589">
        <v>425</v>
      </c>
      <c r="AD101" s="2590"/>
      <c r="AE101" s="2581"/>
      <c r="AF101" s="2577">
        <v>340</v>
      </c>
      <c r="AG101" s="2583" t="s">
        <v>2009</v>
      </c>
      <c r="AH101" s="2584" t="s">
        <v>2009</v>
      </c>
      <c r="AI101" s="760"/>
      <c r="AJ101" s="760"/>
      <c r="AK101" s="760"/>
      <c r="AL101" s="760"/>
      <c r="AP101"/>
      <c r="BE101"/>
      <c r="BF101"/>
      <c r="BG101"/>
      <c r="BH101"/>
      <c r="BI101"/>
      <c r="BJ101"/>
      <c r="BK101"/>
      <c r="BL101"/>
      <c r="BM101"/>
      <c r="BN101" s="760"/>
      <c r="BO101" s="760"/>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row>
    <row r="102" spans="1:258" ht="21" customHeight="1">
      <c r="A102" s="760"/>
      <c r="C102" s="2521" t="s">
        <v>2077</v>
      </c>
      <c r="D102" s="2549"/>
      <c r="E102" s="2523" t="s">
        <v>2117</v>
      </c>
      <c r="F102" s="2568">
        <v>80</v>
      </c>
      <c r="G102" s="2816" t="s">
        <v>2118</v>
      </c>
      <c r="H102" s="2568">
        <v>100</v>
      </c>
      <c r="I102" s="2816" t="s">
        <v>2119</v>
      </c>
      <c r="J102" s="2524">
        <v>150</v>
      </c>
      <c r="K102" s="2613" t="s">
        <v>1086</v>
      </c>
      <c r="L102" s="2612"/>
      <c r="M102" s="2605">
        <v>60</v>
      </c>
      <c r="N102" s="2606">
        <v>90</v>
      </c>
      <c r="O102" s="2607">
        <v>90</v>
      </c>
      <c r="P102" s="2605">
        <v>50</v>
      </c>
      <c r="Q102" s="2606">
        <v>75</v>
      </c>
      <c r="R102" s="2607">
        <v>75</v>
      </c>
      <c r="S102" s="2690">
        <v>40</v>
      </c>
      <c r="T102" s="2691">
        <v>60</v>
      </c>
      <c r="U102" s="2692">
        <v>60</v>
      </c>
      <c r="V102" s="2548" t="s">
        <v>2009</v>
      </c>
      <c r="W102" s="2604" t="s">
        <v>2009</v>
      </c>
      <c r="X102" s="2585">
        <v>105</v>
      </c>
      <c r="Y102" s="2586">
        <v>180</v>
      </c>
      <c r="Z102" s="2587">
        <v>180</v>
      </c>
      <c r="AA102" s="2585">
        <v>90</v>
      </c>
      <c r="AB102" s="2588">
        <v>150</v>
      </c>
      <c r="AC102" s="2589">
        <v>150</v>
      </c>
      <c r="AD102" s="2590">
        <v>70</v>
      </c>
      <c r="AE102" s="2581">
        <v>120</v>
      </c>
      <c r="AF102" s="2577">
        <v>120</v>
      </c>
      <c r="AG102" s="2583" t="s">
        <v>2009</v>
      </c>
      <c r="AH102" s="2584" t="s">
        <v>2009</v>
      </c>
      <c r="AI102" s="760"/>
      <c r="AJ102" s="760"/>
      <c r="AK102" s="760"/>
      <c r="AL102" s="760"/>
      <c r="AP102"/>
      <c r="BE102"/>
      <c r="BF102"/>
      <c r="BG102"/>
      <c r="BH102"/>
      <c r="BI102"/>
      <c r="BJ102"/>
      <c r="BK102"/>
      <c r="BL102"/>
      <c r="BM102"/>
      <c r="BN102" s="760"/>
      <c r="BO102" s="760"/>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8" ht="22.5" customHeight="1">
      <c r="A103" s="760"/>
      <c r="B103" s="760"/>
      <c r="C103" s="2541" t="s">
        <v>2126</v>
      </c>
      <c r="D103" s="2549"/>
      <c r="E103" s="2523" t="s">
        <v>2120</v>
      </c>
      <c r="F103" s="2568">
        <v>90</v>
      </c>
      <c r="G103" s="2816" t="s">
        <v>2121</v>
      </c>
      <c r="H103" s="2568">
        <v>110</v>
      </c>
      <c r="I103" s="2816" t="s">
        <v>2122</v>
      </c>
      <c r="J103" s="2524">
        <v>170</v>
      </c>
      <c r="K103" s="2613" t="s">
        <v>1086</v>
      </c>
      <c r="L103" s="2612"/>
      <c r="M103" s="2605">
        <v>90</v>
      </c>
      <c r="N103" s="2606">
        <v>120</v>
      </c>
      <c r="O103" s="2607">
        <v>150</v>
      </c>
      <c r="P103" s="2605">
        <v>75</v>
      </c>
      <c r="Q103" s="2606">
        <v>100</v>
      </c>
      <c r="R103" s="2607">
        <v>125</v>
      </c>
      <c r="S103" s="2690">
        <v>60</v>
      </c>
      <c r="T103" s="2691">
        <v>80</v>
      </c>
      <c r="U103" s="2692">
        <v>100</v>
      </c>
      <c r="V103" s="2548" t="s">
        <v>2009</v>
      </c>
      <c r="W103" s="2604" t="s">
        <v>2009</v>
      </c>
      <c r="X103" s="2585">
        <v>120</v>
      </c>
      <c r="Y103" s="2586">
        <v>240</v>
      </c>
      <c r="Z103" s="2587">
        <v>330</v>
      </c>
      <c r="AA103" s="2585">
        <v>100</v>
      </c>
      <c r="AB103" s="2588">
        <v>200</v>
      </c>
      <c r="AC103" s="2589">
        <v>275</v>
      </c>
      <c r="AD103" s="2590">
        <v>80</v>
      </c>
      <c r="AE103" s="2581">
        <v>160</v>
      </c>
      <c r="AF103" s="2577">
        <v>220</v>
      </c>
      <c r="AG103" s="2583" t="s">
        <v>2009</v>
      </c>
      <c r="AH103" s="2584" t="s">
        <v>2009</v>
      </c>
      <c r="AI103" s="760"/>
      <c r="AJ103" s="760"/>
      <c r="AK103" s="760"/>
      <c r="AL103" s="760"/>
      <c r="AP103"/>
      <c r="BE103"/>
      <c r="BF103"/>
      <c r="BG103"/>
      <c r="BH103"/>
      <c r="BI103"/>
      <c r="BJ103"/>
      <c r="BK103"/>
      <c r="BL103"/>
      <c r="BM103"/>
      <c r="BN103" s="760"/>
      <c r="BO103" s="760"/>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row>
    <row r="104" spans="1:258" ht="22.5" customHeight="1" thickBot="1">
      <c r="A104" s="760"/>
      <c r="B104" s="760"/>
      <c r="C104" s="2569" t="s">
        <v>2079</v>
      </c>
      <c r="D104" s="2570"/>
      <c r="E104" s="2571" t="s">
        <v>2123</v>
      </c>
      <c r="F104" s="2572">
        <v>20</v>
      </c>
      <c r="G104" s="2817" t="s">
        <v>2124</v>
      </c>
      <c r="H104" s="2572">
        <v>20</v>
      </c>
      <c r="I104" s="2817" t="s">
        <v>2125</v>
      </c>
      <c r="J104" s="2573">
        <v>20</v>
      </c>
      <c r="K104" s="2614" t="s">
        <v>1086</v>
      </c>
      <c r="L104" s="2554"/>
      <c r="M104" s="2608">
        <v>120</v>
      </c>
      <c r="N104" s="2609">
        <v>150</v>
      </c>
      <c r="O104" s="2610">
        <v>180</v>
      </c>
      <c r="P104" s="2608">
        <v>100</v>
      </c>
      <c r="Q104" s="2609">
        <v>125</v>
      </c>
      <c r="R104" s="2610">
        <v>150</v>
      </c>
      <c r="S104" s="2693">
        <v>80</v>
      </c>
      <c r="T104" s="2694">
        <v>100</v>
      </c>
      <c r="U104" s="2695">
        <v>120</v>
      </c>
      <c r="V104" s="2574" t="s">
        <v>2009</v>
      </c>
      <c r="W104" s="2611" t="s">
        <v>2009</v>
      </c>
      <c r="X104" s="2591">
        <v>240</v>
      </c>
      <c r="Y104" s="2592">
        <v>300</v>
      </c>
      <c r="Z104" s="2593">
        <v>360</v>
      </c>
      <c r="AA104" s="2591">
        <v>200</v>
      </c>
      <c r="AB104" s="2594">
        <v>250</v>
      </c>
      <c r="AC104" s="2595">
        <v>300</v>
      </c>
      <c r="AD104" s="2596">
        <v>160</v>
      </c>
      <c r="AE104" s="2597">
        <v>200</v>
      </c>
      <c r="AF104" s="2598">
        <v>240</v>
      </c>
      <c r="AG104" s="2599" t="s">
        <v>2009</v>
      </c>
      <c r="AH104" s="2600" t="s">
        <v>2009</v>
      </c>
      <c r="AI104" s="760"/>
      <c r="AJ104" s="760"/>
      <c r="AK104" s="760"/>
      <c r="AL104" s="760"/>
      <c r="AP104"/>
      <c r="BE104"/>
      <c r="BF104"/>
      <c r="BG104"/>
      <c r="BH104"/>
      <c r="BI104"/>
      <c r="BJ104"/>
      <c r="BK104"/>
      <c r="BL104"/>
      <c r="BM104"/>
      <c r="BN104" s="760"/>
      <c r="BO104" s="760"/>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row>
    <row r="105" spans="1:258" ht="10.5" customHeight="1" thickBot="1">
      <c r="A105" s="760"/>
      <c r="B105" s="760"/>
      <c r="C105" s="2229"/>
      <c r="D105" s="760"/>
      <c r="E105" s="760"/>
      <c r="F105" s="760"/>
      <c r="G105" s="760"/>
      <c r="H105" s="760"/>
      <c r="I105" s="760"/>
      <c r="J105" s="760"/>
      <c r="K105" s="760"/>
      <c r="L105" s="760"/>
      <c r="M105" s="760"/>
      <c r="N105" s="760"/>
      <c r="O105" s="760"/>
      <c r="P105" s="760"/>
      <c r="Q105" s="760"/>
      <c r="R105" s="760"/>
      <c r="S105" s="760"/>
      <c r="T105" s="760"/>
      <c r="U105" s="760"/>
      <c r="V105" s="760"/>
      <c r="W105" s="760"/>
      <c r="X105" s="760"/>
      <c r="Y105" s="760"/>
      <c r="Z105" s="760"/>
      <c r="AA105" s="760"/>
      <c r="AB105" s="760"/>
      <c r="AC105" s="760"/>
      <c r="AD105" s="760"/>
      <c r="AE105" s="760"/>
      <c r="AF105" s="760"/>
      <c r="AG105" s="760"/>
      <c r="AH105" s="760"/>
      <c r="AI105" s="760"/>
      <c r="AJ105" s="760"/>
      <c r="AK105" s="760"/>
      <c r="AL105" s="760"/>
      <c r="AP105"/>
      <c r="BE105"/>
      <c r="BF105"/>
      <c r="BG105"/>
      <c r="BH105"/>
      <c r="BI105"/>
      <c r="BJ105"/>
      <c r="BK105"/>
      <c r="BL105"/>
      <c r="BM105"/>
      <c r="BN105" s="760"/>
      <c r="BO105" s="760"/>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row>
    <row r="106" spans="1:258" ht="22.5" customHeight="1">
      <c r="A106" s="760"/>
      <c r="C106" s="2079" t="s">
        <v>2044</v>
      </c>
      <c r="D106" s="2080"/>
      <c r="E106" s="2998" t="s">
        <v>2023</v>
      </c>
      <c r="F106" s="2999"/>
      <c r="G106" s="2999"/>
      <c r="H106" s="2999"/>
      <c r="I106" s="2999"/>
      <c r="J106" s="3000"/>
      <c r="K106" s="2952" t="s">
        <v>2028</v>
      </c>
      <c r="L106" s="2953"/>
      <c r="M106" s="2914" t="s">
        <v>990</v>
      </c>
      <c r="N106" s="2915"/>
      <c r="O106" s="2916"/>
      <c r="P106" s="2917" t="s">
        <v>991</v>
      </c>
      <c r="Q106" s="2915"/>
      <c r="R106" s="2916"/>
      <c r="S106" s="2996" t="s">
        <v>992</v>
      </c>
      <c r="T106" s="2950"/>
      <c r="U106" s="2997"/>
      <c r="V106" s="2082" t="s">
        <v>993</v>
      </c>
      <c r="W106" s="2083" t="s">
        <v>994</v>
      </c>
      <c r="X106" s="2932" t="s">
        <v>990</v>
      </c>
      <c r="Y106" s="2987"/>
      <c r="Z106" s="2987"/>
      <c r="AA106" s="2936" t="s">
        <v>991</v>
      </c>
      <c r="AB106" s="2936"/>
      <c r="AC106" s="2936"/>
      <c r="AD106" s="2939" t="s">
        <v>992</v>
      </c>
      <c r="AE106" s="2939"/>
      <c r="AF106" s="2939"/>
      <c r="AG106" s="2084" t="s">
        <v>993</v>
      </c>
      <c r="AH106" s="2085" t="s">
        <v>994</v>
      </c>
      <c r="AI106" s="760"/>
      <c r="AJ106" s="760"/>
      <c r="AP106"/>
      <c r="BE106"/>
      <c r="BF106"/>
      <c r="BG106"/>
      <c r="BH106"/>
      <c r="BI106"/>
      <c r="BJ106"/>
      <c r="BK106"/>
      <c r="BL106"/>
      <c r="BM106"/>
      <c r="BN106" s="760"/>
      <c r="BO106" s="760"/>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row>
    <row r="107" spans="1:258" ht="18.75" thickBot="1">
      <c r="A107" s="760"/>
      <c r="C107" s="2701" t="s">
        <v>1078</v>
      </c>
      <c r="D107" s="2198"/>
      <c r="E107" s="2941" t="s">
        <v>910</v>
      </c>
      <c r="F107" s="2942"/>
      <c r="G107" s="2943" t="s">
        <v>120</v>
      </c>
      <c r="H107" s="2942"/>
      <c r="I107" s="2943" t="s">
        <v>2006</v>
      </c>
      <c r="J107" s="2944"/>
      <c r="K107" s="2954"/>
      <c r="L107" s="2955"/>
      <c r="M107" s="2086" t="s">
        <v>910</v>
      </c>
      <c r="N107" s="2044" t="s">
        <v>120</v>
      </c>
      <c r="O107" s="2044" t="s">
        <v>983</v>
      </c>
      <c r="P107" s="2043" t="s">
        <v>910</v>
      </c>
      <c r="Q107" s="2044" t="s">
        <v>120</v>
      </c>
      <c r="R107" s="2044" t="s">
        <v>983</v>
      </c>
      <c r="S107" s="2045" t="s">
        <v>910</v>
      </c>
      <c r="T107" s="2046" t="s">
        <v>120</v>
      </c>
      <c r="U107" s="2046" t="s">
        <v>983</v>
      </c>
      <c r="V107" s="2047"/>
      <c r="W107" s="2048"/>
      <c r="X107" s="2053" t="s">
        <v>910</v>
      </c>
      <c r="Y107" s="2053" t="s">
        <v>120</v>
      </c>
      <c r="Z107" s="2053" t="s">
        <v>983</v>
      </c>
      <c r="AA107" s="2053" t="s">
        <v>910</v>
      </c>
      <c r="AB107" s="2053" t="s">
        <v>120</v>
      </c>
      <c r="AC107" s="2053" t="s">
        <v>983</v>
      </c>
      <c r="AD107" s="2051" t="s">
        <v>910</v>
      </c>
      <c r="AE107" s="2051" t="s">
        <v>120</v>
      </c>
      <c r="AF107" s="2051" t="s">
        <v>983</v>
      </c>
      <c r="AG107" s="2054"/>
      <c r="AH107" s="2055"/>
      <c r="AI107" s="760"/>
      <c r="AJ107" s="760"/>
      <c r="AP107"/>
      <c r="BE107"/>
      <c r="BF107"/>
      <c r="BG107"/>
      <c r="BH107"/>
      <c r="BI107"/>
      <c r="BJ107"/>
      <c r="BK107"/>
      <c r="BL107"/>
      <c r="BM107"/>
      <c r="BN107" s="760"/>
      <c r="BO107" s="760"/>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row>
    <row r="108" spans="1:258" ht="20.25" thickBot="1">
      <c r="A108" s="760"/>
      <c r="C108" s="2702" t="s">
        <v>2043</v>
      </c>
      <c r="D108" s="2196"/>
      <c r="E108" s="2064" t="s">
        <v>998</v>
      </c>
      <c r="F108" s="2058" t="s">
        <v>999</v>
      </c>
      <c r="G108" s="2058" t="s">
        <v>998</v>
      </c>
      <c r="H108" s="2058" t="s">
        <v>999</v>
      </c>
      <c r="I108" s="2058" t="s">
        <v>998</v>
      </c>
      <c r="J108" s="2065" t="s">
        <v>999</v>
      </c>
      <c r="K108" s="2063" t="s">
        <v>120</v>
      </c>
      <c r="L108" s="2081" t="s">
        <v>983</v>
      </c>
      <c r="M108" s="2909" t="s">
        <v>1083</v>
      </c>
      <c r="N108" s="2910"/>
      <c r="O108" s="2988"/>
      <c r="P108" s="2989" t="s">
        <v>1083</v>
      </c>
      <c r="Q108" s="2910"/>
      <c r="R108" s="2988"/>
      <c r="S108" s="2989" t="s">
        <v>1083</v>
      </c>
      <c r="T108" s="2910"/>
      <c r="U108" s="2988"/>
      <c r="V108" s="2049"/>
      <c r="W108" s="2050"/>
      <c r="X108" s="2990" t="s">
        <v>1084</v>
      </c>
      <c r="Y108" s="2991"/>
      <c r="Z108" s="2991"/>
      <c r="AA108" s="2994" t="s">
        <v>1084</v>
      </c>
      <c r="AB108" s="2994"/>
      <c r="AC108" s="2994"/>
      <c r="AD108" s="2994" t="s">
        <v>1084</v>
      </c>
      <c r="AE108" s="2994"/>
      <c r="AF108" s="2994"/>
      <c r="AG108" s="2056"/>
      <c r="AH108" s="2057"/>
      <c r="AI108" s="760"/>
      <c r="AJ108" s="760"/>
      <c r="BE108"/>
      <c r="BF108"/>
      <c r="BG108"/>
      <c r="BH108"/>
      <c r="BI108"/>
      <c r="BJ108"/>
      <c r="BK108"/>
      <c r="BL108"/>
      <c r="BM108"/>
      <c r="BN108" s="760"/>
      <c r="BO108" s="760"/>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row>
    <row r="109" spans="1:258" ht="21" customHeight="1">
      <c r="A109" s="760"/>
      <c r="C109" s="2985" t="s">
        <v>2144</v>
      </c>
      <c r="D109" s="2153" t="s">
        <v>2008</v>
      </c>
      <c r="E109" s="2151" t="s">
        <v>1044</v>
      </c>
      <c r="F109" s="2087">
        <v>20</v>
      </c>
      <c r="G109" s="2144" t="s">
        <v>2029</v>
      </c>
      <c r="H109" s="2087">
        <v>30</v>
      </c>
      <c r="I109" s="2144" t="s">
        <v>226</v>
      </c>
      <c r="J109" s="2087"/>
      <c r="K109" s="2145">
        <v>30</v>
      </c>
      <c r="L109" s="2146">
        <v>30</v>
      </c>
      <c r="M109" s="2093">
        <v>25</v>
      </c>
      <c r="N109" s="2094">
        <v>45</v>
      </c>
      <c r="O109" s="2095">
        <v>0</v>
      </c>
      <c r="P109" s="2093">
        <v>20</v>
      </c>
      <c r="Q109" s="2094">
        <v>40</v>
      </c>
      <c r="R109" s="2095">
        <v>0</v>
      </c>
      <c r="S109" s="2096">
        <v>15</v>
      </c>
      <c r="T109" s="2097">
        <v>30</v>
      </c>
      <c r="U109" s="2098"/>
      <c r="V109" s="2099" t="s">
        <v>2009</v>
      </c>
      <c r="W109" s="2100" t="s">
        <v>2009</v>
      </c>
      <c r="X109" s="2101">
        <v>70</v>
      </c>
      <c r="Y109" s="2102">
        <v>120</v>
      </c>
      <c r="Z109" s="2103">
        <v>0</v>
      </c>
      <c r="AA109" s="2101">
        <v>55</v>
      </c>
      <c r="AB109" s="2088">
        <v>100</v>
      </c>
      <c r="AC109" s="2104">
        <v>0</v>
      </c>
      <c r="AD109" s="2105">
        <v>45</v>
      </c>
      <c r="AE109" s="2106">
        <v>80</v>
      </c>
      <c r="AF109" s="2107"/>
      <c r="AG109" s="2108" t="s">
        <v>2009</v>
      </c>
      <c r="AH109" s="2109" t="s">
        <v>2009</v>
      </c>
      <c r="AI109" s="760"/>
      <c r="AJ109" s="760"/>
      <c r="AO109" s="538"/>
      <c r="AP109" s="538"/>
      <c r="AQ109" s="538"/>
      <c r="AR109" s="538"/>
      <c r="AS109" s="538"/>
      <c r="AT109" s="538"/>
      <c r="AU109" s="538"/>
      <c r="AV109" s="538"/>
      <c r="AW109" s="538"/>
      <c r="AX109" s="538"/>
      <c r="AY109" s="538"/>
      <c r="AZ109" s="538"/>
      <c r="BA109" s="538"/>
      <c r="BB109" s="538"/>
      <c r="BC109" s="538"/>
      <c r="BD109" s="538"/>
      <c r="BE109" s="538"/>
      <c r="BF109" s="538"/>
      <c r="BG109" s="538"/>
      <c r="BH109" s="538"/>
      <c r="BI109" s="538"/>
      <c r="BJ109" s="538"/>
      <c r="BK109" s="538"/>
      <c r="BL109" s="538"/>
      <c r="BM109" s="538"/>
      <c r="BN109" s="1110"/>
      <c r="BO109" s="760"/>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row>
    <row r="110" spans="1:258" ht="21" customHeight="1">
      <c r="A110" s="760"/>
      <c r="C110" s="2986"/>
      <c r="D110" s="2154" t="s">
        <v>2010</v>
      </c>
      <c r="E110" s="2150" t="s">
        <v>2020</v>
      </c>
      <c r="F110" s="2004">
        <v>60</v>
      </c>
      <c r="G110" s="2147" t="s">
        <v>2030</v>
      </c>
      <c r="H110" s="2004">
        <v>90</v>
      </c>
      <c r="I110" s="2147" t="s">
        <v>226</v>
      </c>
      <c r="J110" s="2004"/>
      <c r="K110" s="2148">
        <v>90</v>
      </c>
      <c r="L110" s="2149">
        <v>90</v>
      </c>
      <c r="M110" s="2110">
        <v>60</v>
      </c>
      <c r="N110" s="2111">
        <v>75</v>
      </c>
      <c r="O110" s="2112">
        <v>0</v>
      </c>
      <c r="P110" s="2110">
        <v>50</v>
      </c>
      <c r="Q110" s="2111">
        <v>65</v>
      </c>
      <c r="R110" s="2112">
        <v>0</v>
      </c>
      <c r="S110" s="2113">
        <v>40</v>
      </c>
      <c r="T110" s="2114">
        <v>50</v>
      </c>
      <c r="U110" s="2115"/>
      <c r="V110" s="2116" t="s">
        <v>2009</v>
      </c>
      <c r="W110" s="2117" t="s">
        <v>2009</v>
      </c>
      <c r="X110" s="2118">
        <v>180</v>
      </c>
      <c r="Y110" s="2119">
        <v>210</v>
      </c>
      <c r="Z110" s="2120">
        <v>0</v>
      </c>
      <c r="AA110" s="2118">
        <v>150</v>
      </c>
      <c r="AB110" s="2089">
        <v>175</v>
      </c>
      <c r="AC110" s="2121">
        <v>0</v>
      </c>
      <c r="AD110" s="2122">
        <v>120</v>
      </c>
      <c r="AE110" s="2123">
        <v>140</v>
      </c>
      <c r="AF110" s="2124"/>
      <c r="AG110" s="2125" t="s">
        <v>2009</v>
      </c>
      <c r="AH110" s="2126" t="s">
        <v>2009</v>
      </c>
      <c r="AI110" s="760"/>
      <c r="AJ110" s="760"/>
      <c r="BE110"/>
      <c r="BF110"/>
      <c r="BG110"/>
      <c r="BH110"/>
      <c r="BI110"/>
      <c r="BJ110"/>
      <c r="BK110"/>
      <c r="BL110"/>
      <c r="BM110"/>
      <c r="BN110" s="1110"/>
      <c r="BO110" s="76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row>
    <row r="111" spans="1:258" ht="21" customHeight="1">
      <c r="A111" s="760"/>
      <c r="C111" s="2986"/>
      <c r="D111" s="2154" t="s">
        <v>2012</v>
      </c>
      <c r="E111" s="2150" t="s">
        <v>226</v>
      </c>
      <c r="F111" s="2004"/>
      <c r="G111" s="2147" t="s">
        <v>1882</v>
      </c>
      <c r="H111" s="2004">
        <v>120</v>
      </c>
      <c r="I111" s="2147" t="s">
        <v>2031</v>
      </c>
      <c r="J111" s="2004">
        <v>150</v>
      </c>
      <c r="K111" s="2148">
        <v>120</v>
      </c>
      <c r="L111" s="2149">
        <v>140</v>
      </c>
      <c r="M111" s="2110">
        <v>0</v>
      </c>
      <c r="N111" s="2111">
        <v>90</v>
      </c>
      <c r="O111" s="2112">
        <v>120</v>
      </c>
      <c r="P111" s="2110">
        <v>0</v>
      </c>
      <c r="Q111" s="2111">
        <v>75</v>
      </c>
      <c r="R111" s="2112">
        <v>100</v>
      </c>
      <c r="S111" s="2113"/>
      <c r="T111" s="2114">
        <v>60</v>
      </c>
      <c r="U111" s="2115">
        <v>80</v>
      </c>
      <c r="V111" s="2116" t="s">
        <v>2009</v>
      </c>
      <c r="W111" s="2117" t="s">
        <v>2009</v>
      </c>
      <c r="X111" s="2118">
        <v>0</v>
      </c>
      <c r="Y111" s="2119">
        <v>285</v>
      </c>
      <c r="Z111" s="2120">
        <v>340</v>
      </c>
      <c r="AA111" s="2118">
        <v>0</v>
      </c>
      <c r="AB111" s="2089">
        <v>240</v>
      </c>
      <c r="AC111" s="2121">
        <v>280</v>
      </c>
      <c r="AD111" s="2122"/>
      <c r="AE111" s="2123">
        <v>190</v>
      </c>
      <c r="AF111" s="2124">
        <v>225</v>
      </c>
      <c r="AG111" s="2125" t="s">
        <v>2009</v>
      </c>
      <c r="AH111" s="2126" t="s">
        <v>2009</v>
      </c>
      <c r="AI111" s="760"/>
      <c r="AJ111" s="760"/>
      <c r="BE111"/>
      <c r="BF111"/>
      <c r="BG111"/>
      <c r="BH111"/>
      <c r="BI111"/>
      <c r="BJ111"/>
      <c r="BK111"/>
      <c r="BL111"/>
      <c r="BM111"/>
      <c r="BN111" s="1110"/>
      <c r="BO111" s="760"/>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row>
    <row r="112" spans="1:258" ht="21" customHeight="1">
      <c r="A112" s="760"/>
      <c r="C112" s="2986"/>
      <c r="D112" s="2154" t="s">
        <v>2015</v>
      </c>
      <c r="E112" s="2150" t="s">
        <v>226</v>
      </c>
      <c r="F112" s="2004"/>
      <c r="G112" s="2147" t="s">
        <v>1081</v>
      </c>
      <c r="H112" s="2004">
        <v>160</v>
      </c>
      <c r="I112" s="2147" t="s">
        <v>2032</v>
      </c>
      <c r="J112" s="2004">
        <v>200</v>
      </c>
      <c r="K112" s="2148">
        <v>160</v>
      </c>
      <c r="L112" s="2149">
        <v>190</v>
      </c>
      <c r="M112" s="2110">
        <v>0</v>
      </c>
      <c r="N112" s="2111">
        <v>120</v>
      </c>
      <c r="O112" s="2112">
        <v>150</v>
      </c>
      <c r="P112" s="2110">
        <v>0</v>
      </c>
      <c r="Q112" s="2111">
        <v>100</v>
      </c>
      <c r="R112" s="2112">
        <v>125</v>
      </c>
      <c r="S112" s="2113"/>
      <c r="T112" s="2114">
        <v>80</v>
      </c>
      <c r="U112" s="2115">
        <v>100</v>
      </c>
      <c r="V112" s="2116" t="s">
        <v>2009</v>
      </c>
      <c r="W112" s="2117" t="s">
        <v>2009</v>
      </c>
      <c r="X112" s="2118">
        <v>0</v>
      </c>
      <c r="Y112" s="2119">
        <v>325</v>
      </c>
      <c r="Z112" s="2120">
        <v>435</v>
      </c>
      <c r="AA112" s="2118">
        <v>0</v>
      </c>
      <c r="AB112" s="2089">
        <v>270</v>
      </c>
      <c r="AC112" s="2121">
        <v>365</v>
      </c>
      <c r="AD112" s="2122"/>
      <c r="AE112" s="2123">
        <v>215</v>
      </c>
      <c r="AF112" s="2124">
        <v>290</v>
      </c>
      <c r="AG112" s="2125" t="s">
        <v>2009</v>
      </c>
      <c r="AH112" s="2126" t="s">
        <v>2009</v>
      </c>
      <c r="AI112" s="760"/>
      <c r="AJ112" s="760"/>
      <c r="BN112" s="760"/>
      <c r="BO112" s="760"/>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row>
    <row r="113" spans="1:258" ht="21" customHeight="1">
      <c r="A113" s="760"/>
      <c r="C113" s="2986"/>
      <c r="D113" s="2154" t="s">
        <v>2016</v>
      </c>
      <c r="E113" s="2150" t="s">
        <v>226</v>
      </c>
      <c r="F113" s="2004"/>
      <c r="G113" s="2147" t="s">
        <v>2017</v>
      </c>
      <c r="H113" s="2004">
        <v>200</v>
      </c>
      <c r="I113" s="2147" t="s">
        <v>2033</v>
      </c>
      <c r="J113" s="2004">
        <v>250</v>
      </c>
      <c r="K113" s="2148">
        <v>210</v>
      </c>
      <c r="L113" s="2149">
        <v>210</v>
      </c>
      <c r="M113" s="2110">
        <v>0</v>
      </c>
      <c r="N113" s="2111">
        <v>130</v>
      </c>
      <c r="O113" s="2112">
        <v>160</v>
      </c>
      <c r="P113" s="2110">
        <v>0</v>
      </c>
      <c r="Q113" s="2111">
        <v>105</v>
      </c>
      <c r="R113" s="2112">
        <v>130</v>
      </c>
      <c r="S113" s="2113"/>
      <c r="T113" s="2114">
        <v>85</v>
      </c>
      <c r="U113" s="2115">
        <v>105</v>
      </c>
      <c r="V113" s="2116" t="s">
        <v>2009</v>
      </c>
      <c r="W113" s="2117" t="s">
        <v>2009</v>
      </c>
      <c r="X113" s="2118">
        <v>0</v>
      </c>
      <c r="Y113" s="2119">
        <v>345</v>
      </c>
      <c r="Z113" s="2120">
        <v>450</v>
      </c>
      <c r="AA113" s="2118">
        <v>0</v>
      </c>
      <c r="AB113" s="2089">
        <v>290</v>
      </c>
      <c r="AC113" s="2121">
        <v>375</v>
      </c>
      <c r="AD113" s="2122"/>
      <c r="AE113" s="2123">
        <v>230</v>
      </c>
      <c r="AF113" s="2124">
        <v>300</v>
      </c>
      <c r="AG113" s="2125" t="s">
        <v>2009</v>
      </c>
      <c r="AH113" s="2126" t="s">
        <v>2009</v>
      </c>
      <c r="AI113" s="760"/>
      <c r="AJ113" s="760"/>
      <c r="BN113" s="760"/>
      <c r="BO113" s="760"/>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row>
    <row r="114" spans="1:258" ht="21" customHeight="1">
      <c r="A114" s="760"/>
      <c r="C114" s="2986"/>
      <c r="D114" s="2154" t="s">
        <v>2018</v>
      </c>
      <c r="E114" s="2150" t="s">
        <v>226</v>
      </c>
      <c r="F114" s="2004"/>
      <c r="G114" s="2147" t="s">
        <v>226</v>
      </c>
      <c r="H114" s="2004"/>
      <c r="I114" s="2147" t="s">
        <v>2034</v>
      </c>
      <c r="J114" s="2004">
        <v>280</v>
      </c>
      <c r="K114" s="2148">
        <v>210</v>
      </c>
      <c r="L114" s="2149">
        <v>210</v>
      </c>
      <c r="M114" s="2110">
        <v>0</v>
      </c>
      <c r="N114" s="2111">
        <v>0</v>
      </c>
      <c r="O114" s="2112">
        <v>180</v>
      </c>
      <c r="P114" s="2110">
        <v>0</v>
      </c>
      <c r="Q114" s="2111">
        <v>0</v>
      </c>
      <c r="R114" s="2112">
        <v>150</v>
      </c>
      <c r="S114" s="2113"/>
      <c r="T114" s="2114"/>
      <c r="U114" s="2115">
        <v>120</v>
      </c>
      <c r="V114" s="2116" t="s">
        <v>2009</v>
      </c>
      <c r="W114" s="2117" t="s">
        <v>2009</v>
      </c>
      <c r="X114" s="2118">
        <v>0</v>
      </c>
      <c r="Y114" s="2119">
        <v>0</v>
      </c>
      <c r="Z114" s="2120">
        <v>510</v>
      </c>
      <c r="AA114" s="2118">
        <v>0</v>
      </c>
      <c r="AB114" s="2089">
        <v>0</v>
      </c>
      <c r="AC114" s="2121">
        <v>425</v>
      </c>
      <c r="AD114" s="2122"/>
      <c r="AE114" s="2123"/>
      <c r="AF114" s="2124">
        <v>340</v>
      </c>
      <c r="AG114" s="2125" t="s">
        <v>2009</v>
      </c>
      <c r="AH114" s="2126" t="s">
        <v>2009</v>
      </c>
      <c r="AI114" s="760"/>
      <c r="AJ114" s="760"/>
      <c r="BN114" s="760"/>
      <c r="BO114" s="760"/>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row>
    <row r="115" spans="1:258" ht="21" customHeight="1">
      <c r="A115" s="760"/>
      <c r="C115" s="2912" t="s">
        <v>2145</v>
      </c>
      <c r="D115" s="2155" t="s">
        <v>2019</v>
      </c>
      <c r="E115" s="2150" t="s">
        <v>1044</v>
      </c>
      <c r="F115" s="2004">
        <v>15</v>
      </c>
      <c r="G115" s="2147" t="s">
        <v>2029</v>
      </c>
      <c r="H115" s="2004">
        <v>25</v>
      </c>
      <c r="I115" s="2147" t="s">
        <v>226</v>
      </c>
      <c r="J115" s="2004"/>
      <c r="K115" s="2148">
        <v>25</v>
      </c>
      <c r="L115" s="2149">
        <v>25</v>
      </c>
      <c r="M115" s="2110">
        <v>25</v>
      </c>
      <c r="N115" s="2111">
        <v>45</v>
      </c>
      <c r="O115" s="2112">
        <v>0</v>
      </c>
      <c r="P115" s="2110">
        <v>20</v>
      </c>
      <c r="Q115" s="2111">
        <v>40</v>
      </c>
      <c r="R115" s="2112">
        <v>0</v>
      </c>
      <c r="S115" s="2113">
        <v>15</v>
      </c>
      <c r="T115" s="2114">
        <v>30</v>
      </c>
      <c r="U115" s="2115"/>
      <c r="V115" s="2116" t="s">
        <v>2009</v>
      </c>
      <c r="W115" s="2117" t="s">
        <v>2009</v>
      </c>
      <c r="X115" s="2118">
        <v>70</v>
      </c>
      <c r="Y115" s="2119">
        <v>120</v>
      </c>
      <c r="Z115" s="2120">
        <v>0</v>
      </c>
      <c r="AA115" s="2118">
        <v>55</v>
      </c>
      <c r="AB115" s="2089">
        <v>100</v>
      </c>
      <c r="AC115" s="2121">
        <v>0</v>
      </c>
      <c r="AD115" s="2122">
        <v>45</v>
      </c>
      <c r="AE115" s="2123">
        <v>80</v>
      </c>
      <c r="AF115" s="2124"/>
      <c r="AG115" s="2125" t="s">
        <v>2009</v>
      </c>
      <c r="AH115" s="2126" t="s">
        <v>2009</v>
      </c>
      <c r="AI115" s="760"/>
      <c r="AJ115" s="760"/>
      <c r="BN115" s="760"/>
      <c r="BO115" s="760"/>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row>
    <row r="116" spans="1:258" ht="21" customHeight="1">
      <c r="A116" s="760"/>
      <c r="C116" s="2912"/>
      <c r="D116" s="2155" t="s">
        <v>2010</v>
      </c>
      <c r="E116" s="2150" t="s">
        <v>2020</v>
      </c>
      <c r="F116" s="2004">
        <v>45</v>
      </c>
      <c r="G116" s="2147" t="s">
        <v>2030</v>
      </c>
      <c r="H116" s="2004">
        <v>70</v>
      </c>
      <c r="I116" s="2147" t="s">
        <v>226</v>
      </c>
      <c r="J116" s="2004"/>
      <c r="K116" s="2148">
        <v>70</v>
      </c>
      <c r="L116" s="2149">
        <v>70</v>
      </c>
      <c r="M116" s="2110">
        <v>60</v>
      </c>
      <c r="N116" s="2111">
        <v>75</v>
      </c>
      <c r="O116" s="2112">
        <v>0</v>
      </c>
      <c r="P116" s="2110">
        <v>50</v>
      </c>
      <c r="Q116" s="2111">
        <v>65</v>
      </c>
      <c r="R116" s="2112">
        <v>0</v>
      </c>
      <c r="S116" s="2113">
        <v>40</v>
      </c>
      <c r="T116" s="2114">
        <v>50</v>
      </c>
      <c r="U116" s="2115"/>
      <c r="V116" s="2116" t="s">
        <v>2009</v>
      </c>
      <c r="W116" s="2117" t="s">
        <v>2009</v>
      </c>
      <c r="X116" s="2118">
        <v>180</v>
      </c>
      <c r="Y116" s="2119">
        <v>210</v>
      </c>
      <c r="Z116" s="2120">
        <v>0</v>
      </c>
      <c r="AA116" s="2118">
        <v>150</v>
      </c>
      <c r="AB116" s="2089">
        <v>175</v>
      </c>
      <c r="AC116" s="2121">
        <v>0</v>
      </c>
      <c r="AD116" s="2122">
        <v>120</v>
      </c>
      <c r="AE116" s="2123">
        <v>140</v>
      </c>
      <c r="AF116" s="2124"/>
      <c r="AG116" s="2125" t="s">
        <v>2009</v>
      </c>
      <c r="AH116" s="2126" t="s">
        <v>2009</v>
      </c>
      <c r="AI116" s="760"/>
      <c r="AJ116" s="760"/>
      <c r="BN116" s="760"/>
      <c r="BO116" s="760"/>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row>
    <row r="117" spans="1:258" ht="21" customHeight="1">
      <c r="A117" s="760"/>
      <c r="C117" s="2912"/>
      <c r="D117" s="2155" t="s">
        <v>2012</v>
      </c>
      <c r="E117" s="2150" t="s">
        <v>226</v>
      </c>
      <c r="F117" s="2004"/>
      <c r="G117" s="2147" t="s">
        <v>1882</v>
      </c>
      <c r="H117" s="2004">
        <v>90</v>
      </c>
      <c r="I117" s="2147" t="s">
        <v>2031</v>
      </c>
      <c r="J117" s="2004">
        <v>113</v>
      </c>
      <c r="K117" s="2148">
        <v>90</v>
      </c>
      <c r="L117" s="2149">
        <v>105</v>
      </c>
      <c r="M117" s="2110">
        <v>0</v>
      </c>
      <c r="N117" s="2111">
        <v>90</v>
      </c>
      <c r="O117" s="2112">
        <v>120</v>
      </c>
      <c r="P117" s="2110">
        <v>0</v>
      </c>
      <c r="Q117" s="2111">
        <v>75</v>
      </c>
      <c r="R117" s="2112">
        <v>100</v>
      </c>
      <c r="S117" s="2113"/>
      <c r="T117" s="2114">
        <v>60</v>
      </c>
      <c r="U117" s="2115">
        <v>80</v>
      </c>
      <c r="V117" s="2116" t="s">
        <v>2009</v>
      </c>
      <c r="W117" s="2117" t="s">
        <v>2009</v>
      </c>
      <c r="X117" s="2118">
        <v>0</v>
      </c>
      <c r="Y117" s="2119">
        <v>285</v>
      </c>
      <c r="Z117" s="2120">
        <v>340</v>
      </c>
      <c r="AA117" s="2118">
        <v>0</v>
      </c>
      <c r="AB117" s="2089">
        <v>240</v>
      </c>
      <c r="AC117" s="2121">
        <v>280</v>
      </c>
      <c r="AD117" s="2122"/>
      <c r="AE117" s="2123">
        <v>190</v>
      </c>
      <c r="AF117" s="2124">
        <v>225</v>
      </c>
      <c r="AG117" s="2125" t="s">
        <v>2009</v>
      </c>
      <c r="AH117" s="2126" t="s">
        <v>2009</v>
      </c>
      <c r="AI117" s="760"/>
      <c r="AJ117" s="760"/>
      <c r="BN117" s="760"/>
      <c r="BO117" s="760"/>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row>
    <row r="118" spans="1:258" ht="21" customHeight="1">
      <c r="A118" s="760"/>
      <c r="C118" s="2912"/>
      <c r="D118" s="2155" t="s">
        <v>2015</v>
      </c>
      <c r="E118" s="2150" t="s">
        <v>226</v>
      </c>
      <c r="F118" s="2004"/>
      <c r="G118" s="2147" t="s">
        <v>1081</v>
      </c>
      <c r="H118" s="2004">
        <v>120</v>
      </c>
      <c r="I118" s="2147" t="s">
        <v>2032</v>
      </c>
      <c r="J118" s="2004">
        <v>150</v>
      </c>
      <c r="K118" s="2148">
        <v>120</v>
      </c>
      <c r="L118" s="2149">
        <v>145</v>
      </c>
      <c r="M118" s="2110">
        <v>0</v>
      </c>
      <c r="N118" s="2111">
        <v>120</v>
      </c>
      <c r="O118" s="2112">
        <v>150</v>
      </c>
      <c r="P118" s="2110">
        <v>0</v>
      </c>
      <c r="Q118" s="2111">
        <v>100</v>
      </c>
      <c r="R118" s="2112">
        <v>125</v>
      </c>
      <c r="S118" s="2113"/>
      <c r="T118" s="2114">
        <v>80</v>
      </c>
      <c r="U118" s="2115">
        <v>100</v>
      </c>
      <c r="V118" s="2116" t="s">
        <v>2009</v>
      </c>
      <c r="W118" s="2117" t="s">
        <v>2009</v>
      </c>
      <c r="X118" s="2118">
        <v>0</v>
      </c>
      <c r="Y118" s="2119">
        <v>325</v>
      </c>
      <c r="Z118" s="2120">
        <v>435</v>
      </c>
      <c r="AA118" s="2118">
        <v>0</v>
      </c>
      <c r="AB118" s="2089">
        <v>270</v>
      </c>
      <c r="AC118" s="2121">
        <v>365</v>
      </c>
      <c r="AD118" s="2122"/>
      <c r="AE118" s="2123">
        <v>215</v>
      </c>
      <c r="AF118" s="2124">
        <v>290</v>
      </c>
      <c r="AG118" s="2125" t="s">
        <v>2009</v>
      </c>
      <c r="AH118" s="2126" t="s">
        <v>2009</v>
      </c>
      <c r="AI118" s="760"/>
      <c r="AJ118" s="760"/>
      <c r="BE118"/>
      <c r="BF118"/>
      <c r="BG118"/>
      <c r="BH118"/>
      <c r="BI118"/>
      <c r="BJ118"/>
      <c r="BK118"/>
      <c r="BL118"/>
      <c r="BM118"/>
      <c r="BN118" s="760"/>
      <c r="BO118" s="760"/>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row>
    <row r="119" spans="1:258" ht="21" customHeight="1">
      <c r="A119" s="760"/>
      <c r="C119" s="2912"/>
      <c r="D119" s="2155" t="s">
        <v>2016</v>
      </c>
      <c r="E119" s="2150" t="s">
        <v>226</v>
      </c>
      <c r="F119" s="2004"/>
      <c r="G119" s="2147" t="s">
        <v>2017</v>
      </c>
      <c r="H119" s="2004">
        <v>160</v>
      </c>
      <c r="I119" s="2147" t="s">
        <v>2033</v>
      </c>
      <c r="J119" s="2004">
        <v>188</v>
      </c>
      <c r="K119" s="2148">
        <v>160</v>
      </c>
      <c r="L119" s="2149">
        <v>160</v>
      </c>
      <c r="M119" s="2110">
        <v>0</v>
      </c>
      <c r="N119" s="2111">
        <v>130</v>
      </c>
      <c r="O119" s="2112">
        <v>160</v>
      </c>
      <c r="P119" s="2110">
        <v>0</v>
      </c>
      <c r="Q119" s="2111">
        <v>105</v>
      </c>
      <c r="R119" s="2112">
        <v>130</v>
      </c>
      <c r="S119" s="2113"/>
      <c r="T119" s="2114">
        <v>85</v>
      </c>
      <c r="U119" s="2115">
        <v>105</v>
      </c>
      <c r="V119" s="2116" t="s">
        <v>2009</v>
      </c>
      <c r="W119" s="2117" t="s">
        <v>2009</v>
      </c>
      <c r="X119" s="2118">
        <v>0</v>
      </c>
      <c r="Y119" s="2119">
        <v>345</v>
      </c>
      <c r="Z119" s="2120">
        <v>450</v>
      </c>
      <c r="AA119" s="2118">
        <v>0</v>
      </c>
      <c r="AB119" s="2089">
        <v>290</v>
      </c>
      <c r="AC119" s="2121">
        <v>375</v>
      </c>
      <c r="AD119" s="2122"/>
      <c r="AE119" s="2123">
        <v>230</v>
      </c>
      <c r="AF119" s="2124">
        <v>300</v>
      </c>
      <c r="AG119" s="2125" t="s">
        <v>2009</v>
      </c>
      <c r="AH119" s="2126" t="s">
        <v>2009</v>
      </c>
      <c r="AI119" s="760"/>
      <c r="AJ119" s="760"/>
      <c r="BE119"/>
      <c r="BF119"/>
      <c r="BG119"/>
      <c r="BH119"/>
      <c r="BI119"/>
      <c r="BJ119"/>
      <c r="BK119"/>
      <c r="BL119"/>
      <c r="BM119"/>
      <c r="BN119" s="760"/>
      <c r="BO119" s="760"/>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row>
    <row r="120" spans="1:258" ht="21" customHeight="1">
      <c r="A120" s="760"/>
      <c r="C120" s="2913"/>
      <c r="D120" s="2156" t="s">
        <v>2018</v>
      </c>
      <c r="E120" s="2150" t="s">
        <v>226</v>
      </c>
      <c r="F120" s="2004"/>
      <c r="G120" s="2147" t="s">
        <v>226</v>
      </c>
      <c r="H120" s="2004"/>
      <c r="I120" s="2147" t="s">
        <v>2034</v>
      </c>
      <c r="J120" s="2004">
        <v>210</v>
      </c>
      <c r="K120" s="2148">
        <v>160</v>
      </c>
      <c r="L120" s="2149">
        <v>160</v>
      </c>
      <c r="M120" s="2110">
        <v>0</v>
      </c>
      <c r="N120" s="2111">
        <v>0</v>
      </c>
      <c r="O120" s="2112">
        <v>180</v>
      </c>
      <c r="P120" s="2110">
        <v>0</v>
      </c>
      <c r="Q120" s="2111">
        <v>0</v>
      </c>
      <c r="R120" s="2112">
        <v>150</v>
      </c>
      <c r="S120" s="2113"/>
      <c r="T120" s="2114"/>
      <c r="U120" s="2115">
        <v>120</v>
      </c>
      <c r="V120" s="2116" t="s">
        <v>2009</v>
      </c>
      <c r="W120" s="2117" t="s">
        <v>2009</v>
      </c>
      <c r="X120" s="2118">
        <v>0</v>
      </c>
      <c r="Y120" s="2119">
        <v>0</v>
      </c>
      <c r="Z120" s="2120">
        <v>510</v>
      </c>
      <c r="AA120" s="2118">
        <v>0</v>
      </c>
      <c r="AB120" s="2089">
        <v>0</v>
      </c>
      <c r="AC120" s="2121">
        <v>425</v>
      </c>
      <c r="AD120" s="2122"/>
      <c r="AE120" s="2123"/>
      <c r="AF120" s="2124">
        <v>340</v>
      </c>
      <c r="AG120" s="2125" t="s">
        <v>2009</v>
      </c>
      <c r="AH120" s="2126" t="s">
        <v>2009</v>
      </c>
      <c r="AI120" s="760"/>
      <c r="AJ120" s="760"/>
      <c r="BE120"/>
      <c r="BF120"/>
      <c r="BG120"/>
      <c r="BH120"/>
      <c r="BI120"/>
      <c r="BJ120"/>
      <c r="BK120"/>
      <c r="BL120"/>
      <c r="BM120"/>
      <c r="BN120" s="760"/>
      <c r="BO120" s="76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row>
    <row r="121" spans="1:258" ht="21" customHeight="1">
      <c r="A121" s="760"/>
      <c r="C121" s="2157" t="s">
        <v>1071</v>
      </c>
      <c r="D121" s="2158"/>
      <c r="E121" s="2150" t="s">
        <v>2011</v>
      </c>
      <c r="F121" s="2004">
        <v>40</v>
      </c>
      <c r="G121" s="2147" t="s">
        <v>2035</v>
      </c>
      <c r="H121" s="2004">
        <v>60</v>
      </c>
      <c r="I121" s="2147" t="s">
        <v>226</v>
      </c>
      <c r="J121" s="2004"/>
      <c r="K121" s="2148">
        <v>20</v>
      </c>
      <c r="L121" s="2149">
        <v>40</v>
      </c>
      <c r="M121" s="2110">
        <v>45</v>
      </c>
      <c r="N121" s="2111">
        <v>70</v>
      </c>
      <c r="O121" s="2112">
        <v>0</v>
      </c>
      <c r="P121" s="2110">
        <v>40</v>
      </c>
      <c r="Q121" s="2111">
        <v>55</v>
      </c>
      <c r="R121" s="2112">
        <v>0</v>
      </c>
      <c r="S121" s="2113">
        <v>30</v>
      </c>
      <c r="T121" s="2114">
        <v>45</v>
      </c>
      <c r="U121" s="2115"/>
      <c r="V121" s="2116" t="s">
        <v>2009</v>
      </c>
      <c r="W121" s="2117" t="s">
        <v>2009</v>
      </c>
      <c r="X121" s="2118">
        <v>120</v>
      </c>
      <c r="Y121" s="2119">
        <v>180</v>
      </c>
      <c r="Z121" s="2120">
        <v>0</v>
      </c>
      <c r="AA121" s="2118">
        <v>100</v>
      </c>
      <c r="AB121" s="2089">
        <v>150</v>
      </c>
      <c r="AC121" s="2121">
        <v>0</v>
      </c>
      <c r="AD121" s="2122">
        <v>80</v>
      </c>
      <c r="AE121" s="2123">
        <v>120</v>
      </c>
      <c r="AF121" s="2124"/>
      <c r="AG121" s="2125" t="s">
        <v>2009</v>
      </c>
      <c r="AH121" s="2126" t="s">
        <v>2009</v>
      </c>
      <c r="AI121" s="760"/>
      <c r="AJ121" s="760"/>
      <c r="BE121"/>
      <c r="BF121"/>
      <c r="BG121"/>
      <c r="BH121"/>
      <c r="BI121"/>
      <c r="BJ121"/>
      <c r="BK121"/>
      <c r="BL121"/>
      <c r="BM121"/>
      <c r="BN121" s="760"/>
      <c r="BO121" s="760"/>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row>
    <row r="122" spans="1:258" ht="21" customHeight="1">
      <c r="A122" s="760"/>
      <c r="C122" s="2159" t="s">
        <v>2038</v>
      </c>
      <c r="D122" s="2160"/>
      <c r="E122" s="2150" t="s">
        <v>1044</v>
      </c>
      <c r="F122" s="2004">
        <v>20</v>
      </c>
      <c r="G122" s="2147" t="s">
        <v>2029</v>
      </c>
      <c r="H122" s="2004">
        <v>30</v>
      </c>
      <c r="I122" s="2147" t="s">
        <v>226</v>
      </c>
      <c r="J122" s="2004"/>
      <c r="K122" s="2148">
        <v>30</v>
      </c>
      <c r="L122" s="2149">
        <v>30</v>
      </c>
      <c r="M122" s="2110">
        <v>25</v>
      </c>
      <c r="N122" s="2111">
        <v>45</v>
      </c>
      <c r="O122" s="2112">
        <v>0</v>
      </c>
      <c r="P122" s="2110">
        <v>20</v>
      </c>
      <c r="Q122" s="2111">
        <v>40</v>
      </c>
      <c r="R122" s="2112">
        <v>0</v>
      </c>
      <c r="S122" s="2113">
        <v>15</v>
      </c>
      <c r="T122" s="2114">
        <v>30</v>
      </c>
      <c r="U122" s="2115"/>
      <c r="V122" s="2116" t="s">
        <v>2009</v>
      </c>
      <c r="W122" s="2117" t="s">
        <v>2009</v>
      </c>
      <c r="X122" s="2118">
        <v>30</v>
      </c>
      <c r="Y122" s="2119">
        <v>55</v>
      </c>
      <c r="Z122" s="2120">
        <v>0</v>
      </c>
      <c r="AA122" s="2118">
        <v>25</v>
      </c>
      <c r="AB122" s="2089">
        <v>45</v>
      </c>
      <c r="AC122" s="2121">
        <v>0</v>
      </c>
      <c r="AD122" s="2122">
        <v>20</v>
      </c>
      <c r="AE122" s="2123">
        <v>35</v>
      </c>
      <c r="AF122" s="2124"/>
      <c r="AG122" s="2125" t="s">
        <v>2009</v>
      </c>
      <c r="AH122" s="2126" t="s">
        <v>2009</v>
      </c>
      <c r="AI122" s="760"/>
      <c r="AJ122" s="760"/>
      <c r="BE122"/>
      <c r="BF122"/>
      <c r="BG122"/>
      <c r="BH122"/>
      <c r="BI122"/>
      <c r="BJ122"/>
      <c r="BK122"/>
      <c r="BL122"/>
      <c r="BM122"/>
      <c r="BN122" s="760"/>
      <c r="BO122" s="760"/>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row>
    <row r="123" spans="1:258" ht="21" customHeight="1">
      <c r="A123" s="760"/>
      <c r="C123" s="2157" t="s">
        <v>2074</v>
      </c>
      <c r="D123" s="2158"/>
      <c r="E123" s="2150" t="s">
        <v>2013</v>
      </c>
      <c r="F123" s="2004">
        <v>60</v>
      </c>
      <c r="G123" s="2147" t="s">
        <v>2021</v>
      </c>
      <c r="H123" s="2004">
        <v>100</v>
      </c>
      <c r="I123" s="2147" t="s">
        <v>1006</v>
      </c>
      <c r="J123" s="2004">
        <v>140</v>
      </c>
      <c r="K123" s="2148">
        <v>100</v>
      </c>
      <c r="L123" s="2149">
        <v>140</v>
      </c>
      <c r="M123" s="2110">
        <v>45</v>
      </c>
      <c r="N123" s="2111">
        <v>85</v>
      </c>
      <c r="O123" s="2112">
        <v>120</v>
      </c>
      <c r="P123" s="2110">
        <v>40</v>
      </c>
      <c r="Q123" s="2111">
        <v>70</v>
      </c>
      <c r="R123" s="2112">
        <v>100</v>
      </c>
      <c r="S123" s="2113">
        <v>30</v>
      </c>
      <c r="T123" s="2114">
        <v>55</v>
      </c>
      <c r="U123" s="2115">
        <v>80</v>
      </c>
      <c r="V123" s="2116" t="s">
        <v>2009</v>
      </c>
      <c r="W123" s="2117" t="s">
        <v>2009</v>
      </c>
      <c r="X123" s="2118">
        <v>120</v>
      </c>
      <c r="Y123" s="2119">
        <v>220</v>
      </c>
      <c r="Z123" s="2120">
        <v>325</v>
      </c>
      <c r="AA123" s="2118">
        <v>100</v>
      </c>
      <c r="AB123" s="2089">
        <v>180</v>
      </c>
      <c r="AC123" s="2121">
        <v>270</v>
      </c>
      <c r="AD123" s="2122">
        <v>80</v>
      </c>
      <c r="AE123" s="2123">
        <v>145</v>
      </c>
      <c r="AF123" s="2124">
        <v>215</v>
      </c>
      <c r="AG123" s="2127" t="s">
        <v>2009</v>
      </c>
      <c r="AH123" s="2126" t="s">
        <v>2009</v>
      </c>
      <c r="AI123" s="760"/>
      <c r="AJ123" s="760"/>
      <c r="BE123"/>
      <c r="BF123"/>
      <c r="BG123"/>
      <c r="BH123"/>
      <c r="BI123"/>
      <c r="BJ123"/>
      <c r="BK123"/>
      <c r="BL123"/>
      <c r="BM123"/>
      <c r="BN123" s="760"/>
      <c r="BO123" s="760"/>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row>
    <row r="124" spans="1:258" ht="21" customHeight="1">
      <c r="A124" s="760"/>
      <c r="C124" s="2159" t="s">
        <v>2075</v>
      </c>
      <c r="D124" s="2160"/>
      <c r="E124" s="2150" t="s">
        <v>2013</v>
      </c>
      <c r="F124" s="2004">
        <v>70</v>
      </c>
      <c r="G124" s="2147" t="s">
        <v>2021</v>
      </c>
      <c r="H124" s="2004">
        <v>110</v>
      </c>
      <c r="I124" s="2147" t="s">
        <v>1006</v>
      </c>
      <c r="J124" s="2004">
        <v>160</v>
      </c>
      <c r="K124" s="2148">
        <v>100</v>
      </c>
      <c r="L124" s="2149">
        <v>140</v>
      </c>
      <c r="M124" s="2110">
        <v>55</v>
      </c>
      <c r="N124" s="2111">
        <v>90</v>
      </c>
      <c r="O124" s="2112">
        <v>135</v>
      </c>
      <c r="P124" s="2110">
        <v>45</v>
      </c>
      <c r="Q124" s="2111">
        <v>75</v>
      </c>
      <c r="R124" s="2112">
        <v>115</v>
      </c>
      <c r="S124" s="2113">
        <v>35</v>
      </c>
      <c r="T124" s="2114">
        <v>60</v>
      </c>
      <c r="U124" s="2115">
        <v>90</v>
      </c>
      <c r="V124" s="2116" t="s">
        <v>2009</v>
      </c>
      <c r="W124" s="2117" t="s">
        <v>2009</v>
      </c>
      <c r="X124" s="2118">
        <v>160</v>
      </c>
      <c r="Y124" s="2119">
        <v>240</v>
      </c>
      <c r="Z124" s="2120">
        <v>390</v>
      </c>
      <c r="AA124" s="2118">
        <v>130</v>
      </c>
      <c r="AB124" s="2089">
        <v>200</v>
      </c>
      <c r="AC124" s="2121">
        <v>325</v>
      </c>
      <c r="AD124" s="2122">
        <v>105</v>
      </c>
      <c r="AE124" s="2123">
        <v>160</v>
      </c>
      <c r="AF124" s="2124">
        <v>260</v>
      </c>
      <c r="AG124" s="2127" t="s">
        <v>2009</v>
      </c>
      <c r="AH124" s="2126" t="s">
        <v>2009</v>
      </c>
      <c r="AI124" s="760"/>
      <c r="AJ124" s="760"/>
      <c r="BE124"/>
      <c r="BF124"/>
      <c r="BG124"/>
      <c r="BH124"/>
      <c r="BI124"/>
      <c r="BJ124"/>
      <c r="BK124"/>
      <c r="BL124"/>
      <c r="BM124"/>
      <c r="BN124" s="760"/>
      <c r="BO124" s="760"/>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row>
    <row r="125" spans="1:258" ht="21" customHeight="1">
      <c r="A125" s="760"/>
      <c r="C125" s="2157" t="s">
        <v>2037</v>
      </c>
      <c r="D125" s="2158"/>
      <c r="E125" s="2150" t="s">
        <v>1032</v>
      </c>
      <c r="F125" s="2004">
        <v>80</v>
      </c>
      <c r="G125" s="2147" t="s">
        <v>1823</v>
      </c>
      <c r="H125" s="2004">
        <v>130</v>
      </c>
      <c r="I125" s="2147" t="s">
        <v>1822</v>
      </c>
      <c r="J125" s="2004">
        <v>180</v>
      </c>
      <c r="K125" s="2148">
        <v>100</v>
      </c>
      <c r="L125" s="2149">
        <v>140</v>
      </c>
      <c r="M125" s="2110">
        <v>70</v>
      </c>
      <c r="N125" s="2111">
        <v>105</v>
      </c>
      <c r="O125" s="2112">
        <v>150</v>
      </c>
      <c r="P125" s="2110">
        <v>55</v>
      </c>
      <c r="Q125" s="2111">
        <v>90</v>
      </c>
      <c r="R125" s="2112">
        <v>125</v>
      </c>
      <c r="S125" s="2113">
        <v>45</v>
      </c>
      <c r="T125" s="2114">
        <v>70</v>
      </c>
      <c r="U125" s="2115">
        <v>100</v>
      </c>
      <c r="V125" s="2116" t="s">
        <v>2009</v>
      </c>
      <c r="W125" s="2117" t="s">
        <v>2009</v>
      </c>
      <c r="X125" s="2118">
        <v>195</v>
      </c>
      <c r="Y125" s="2119">
        <v>285</v>
      </c>
      <c r="Z125" s="2120">
        <v>435</v>
      </c>
      <c r="AA125" s="2118">
        <v>165</v>
      </c>
      <c r="AB125" s="2089">
        <v>240</v>
      </c>
      <c r="AC125" s="2121">
        <v>365</v>
      </c>
      <c r="AD125" s="2122">
        <v>130</v>
      </c>
      <c r="AE125" s="2123">
        <v>190</v>
      </c>
      <c r="AF125" s="2124">
        <v>290</v>
      </c>
      <c r="AG125" s="2127" t="s">
        <v>2009</v>
      </c>
      <c r="AH125" s="2126" t="s">
        <v>2009</v>
      </c>
      <c r="AI125" s="760"/>
      <c r="AJ125" s="760"/>
      <c r="AS125"/>
      <c r="AT125"/>
      <c r="AU125"/>
      <c r="AV125"/>
      <c r="AW125"/>
      <c r="AX125"/>
      <c r="AY125"/>
      <c r="AZ125"/>
      <c r="BA125"/>
      <c r="BB125"/>
      <c r="BC125"/>
      <c r="BD125"/>
      <c r="BE125"/>
      <c r="BF125"/>
      <c r="BG125"/>
      <c r="BH125"/>
      <c r="BI125"/>
      <c r="BJ125"/>
      <c r="BK125"/>
      <c r="BL125"/>
      <c r="BM125"/>
      <c r="BN125"/>
      <c r="BO125" s="760"/>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row>
    <row r="126" spans="1:258" ht="21" customHeight="1">
      <c r="A126" s="760"/>
      <c r="C126" s="2159" t="s">
        <v>1072</v>
      </c>
      <c r="D126" s="2160"/>
      <c r="E126" s="2150" t="s">
        <v>1824</v>
      </c>
      <c r="F126" s="2004">
        <v>20</v>
      </c>
      <c r="G126" s="2147" t="s">
        <v>2036</v>
      </c>
      <c r="H126" s="2004">
        <v>30</v>
      </c>
      <c r="I126" s="2147" t="s">
        <v>226</v>
      </c>
      <c r="J126" s="2004"/>
      <c r="K126" s="2148">
        <v>30</v>
      </c>
      <c r="L126" s="2149">
        <v>30</v>
      </c>
      <c r="M126" s="2110">
        <v>15</v>
      </c>
      <c r="N126" s="2111">
        <v>30</v>
      </c>
      <c r="O126" s="2112">
        <v>0</v>
      </c>
      <c r="P126" s="2110">
        <v>15</v>
      </c>
      <c r="Q126" s="2111">
        <v>25</v>
      </c>
      <c r="R126" s="2112">
        <v>0</v>
      </c>
      <c r="S126" s="2113">
        <v>10</v>
      </c>
      <c r="T126" s="2114">
        <v>20</v>
      </c>
      <c r="U126" s="2115"/>
      <c r="V126" s="2116" t="s">
        <v>2009</v>
      </c>
      <c r="W126" s="2117" t="s">
        <v>2009</v>
      </c>
      <c r="X126" s="2118">
        <v>30</v>
      </c>
      <c r="Y126" s="2119">
        <v>60</v>
      </c>
      <c r="Z126" s="2120">
        <v>0</v>
      </c>
      <c r="AA126" s="2118">
        <v>25</v>
      </c>
      <c r="AB126" s="2089">
        <v>50</v>
      </c>
      <c r="AC126" s="2121">
        <v>0</v>
      </c>
      <c r="AD126" s="2122">
        <v>20</v>
      </c>
      <c r="AE126" s="2123">
        <v>40</v>
      </c>
      <c r="AF126" s="2124"/>
      <c r="AG126" s="2125" t="s">
        <v>2009</v>
      </c>
      <c r="AH126" s="2126" t="s">
        <v>2009</v>
      </c>
      <c r="AI126" s="760"/>
      <c r="AJ126" s="760"/>
      <c r="AS126"/>
      <c r="AT126"/>
      <c r="AU126"/>
      <c r="AV126"/>
      <c r="AW126"/>
      <c r="AX126"/>
      <c r="AY126"/>
      <c r="AZ126"/>
      <c r="BA126"/>
      <c r="BB126"/>
      <c r="BC126"/>
      <c r="BD126"/>
      <c r="BE126"/>
      <c r="BF126"/>
      <c r="BG126"/>
      <c r="BH126"/>
      <c r="BI126"/>
      <c r="BJ126"/>
      <c r="BK126"/>
      <c r="BL126"/>
      <c r="BM126"/>
      <c r="BN126"/>
      <c r="BO126" s="760"/>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row>
    <row r="127" spans="1:258" ht="21" customHeight="1">
      <c r="A127" s="760"/>
      <c r="C127" s="2157" t="s">
        <v>1075</v>
      </c>
      <c r="D127" s="2158"/>
      <c r="E127" s="2150" t="s">
        <v>226</v>
      </c>
      <c r="F127" s="2004">
        <v>20</v>
      </c>
      <c r="G127" s="2147" t="s">
        <v>226</v>
      </c>
      <c r="H127" s="2004">
        <v>30</v>
      </c>
      <c r="I127" s="2147" t="s">
        <v>226</v>
      </c>
      <c r="J127" s="2004">
        <v>30</v>
      </c>
      <c r="K127" s="2148">
        <v>30</v>
      </c>
      <c r="L127" s="2149">
        <v>30</v>
      </c>
      <c r="M127" s="2110">
        <v>25</v>
      </c>
      <c r="N127" s="2111">
        <v>45</v>
      </c>
      <c r="O127" s="2112">
        <v>0</v>
      </c>
      <c r="P127" s="2110">
        <v>20</v>
      </c>
      <c r="Q127" s="2111">
        <v>40</v>
      </c>
      <c r="R127" s="2112">
        <v>0</v>
      </c>
      <c r="S127" s="2113">
        <v>15</v>
      </c>
      <c r="T127" s="2114">
        <v>30</v>
      </c>
      <c r="U127" s="2115"/>
      <c r="V127" s="2116" t="s">
        <v>2009</v>
      </c>
      <c r="W127" s="2117" t="s">
        <v>2009</v>
      </c>
      <c r="X127" s="2118">
        <v>70</v>
      </c>
      <c r="Y127" s="2119">
        <v>120</v>
      </c>
      <c r="Z127" s="2120">
        <v>0</v>
      </c>
      <c r="AA127" s="2118">
        <v>55</v>
      </c>
      <c r="AB127" s="2089">
        <v>100</v>
      </c>
      <c r="AC127" s="2121">
        <v>0</v>
      </c>
      <c r="AD127" s="2122">
        <v>45</v>
      </c>
      <c r="AE127" s="2123">
        <v>80</v>
      </c>
      <c r="AF127" s="2124"/>
      <c r="AG127" s="2125" t="s">
        <v>2009</v>
      </c>
      <c r="AH127" s="2126" t="s">
        <v>2009</v>
      </c>
      <c r="AI127" s="760"/>
      <c r="AJ127" s="760"/>
      <c r="AP127"/>
      <c r="AQ127"/>
      <c r="AR127"/>
      <c r="AS127"/>
      <c r="AT127"/>
      <c r="AU127"/>
      <c r="AV127"/>
      <c r="AW127"/>
      <c r="AX127"/>
      <c r="AY127"/>
      <c r="AZ127"/>
      <c r="BA127"/>
      <c r="BB127"/>
      <c r="BC127"/>
      <c r="BD127"/>
      <c r="BE127"/>
      <c r="BF127"/>
      <c r="BG127"/>
      <c r="BH127"/>
      <c r="BI127"/>
      <c r="BJ127"/>
      <c r="BK127"/>
      <c r="BL127"/>
      <c r="BM127"/>
      <c r="BN127"/>
      <c r="BO127" s="760"/>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row>
    <row r="128" spans="1:258" ht="21" customHeight="1" thickBot="1">
      <c r="A128" s="760"/>
      <c r="C128" s="2161" t="s">
        <v>1076</v>
      </c>
      <c r="D128" s="2162"/>
      <c r="E128" s="2152" t="s">
        <v>226</v>
      </c>
      <c r="F128" s="2091">
        <v>0</v>
      </c>
      <c r="G128" s="2090" t="s">
        <v>226</v>
      </c>
      <c r="H128" s="2091">
        <v>0</v>
      </c>
      <c r="I128" s="2090" t="s">
        <v>226</v>
      </c>
      <c r="J128" s="2091"/>
      <c r="K128" s="2743"/>
      <c r="L128" s="2744"/>
      <c r="M128" s="2128">
        <v>0</v>
      </c>
      <c r="N128" s="2129">
        <v>0</v>
      </c>
      <c r="O128" s="2130">
        <v>0</v>
      </c>
      <c r="P128" s="2128">
        <v>0</v>
      </c>
      <c r="Q128" s="2129">
        <v>0</v>
      </c>
      <c r="R128" s="2130">
        <v>0</v>
      </c>
      <c r="S128" s="2131">
        <v>0</v>
      </c>
      <c r="T128" s="2132">
        <v>0</v>
      </c>
      <c r="U128" s="2133">
        <v>0</v>
      </c>
      <c r="V128" s="2134" t="s">
        <v>226</v>
      </c>
      <c r="W128" s="2135" t="s">
        <v>226</v>
      </c>
      <c r="X128" s="2136">
        <v>0</v>
      </c>
      <c r="Y128" s="2137">
        <v>0</v>
      </c>
      <c r="Z128" s="2138">
        <v>0</v>
      </c>
      <c r="AA128" s="2136">
        <v>0</v>
      </c>
      <c r="AB128" s="2092">
        <v>0</v>
      </c>
      <c r="AC128" s="2139">
        <v>0</v>
      </c>
      <c r="AD128" s="2140">
        <v>0</v>
      </c>
      <c r="AE128" s="2141">
        <v>0</v>
      </c>
      <c r="AF128" s="2142">
        <v>0</v>
      </c>
      <c r="AG128" s="2143" t="s">
        <v>226</v>
      </c>
      <c r="AH128" s="2139" t="s">
        <v>226</v>
      </c>
      <c r="AI128" s="760"/>
      <c r="AJ128" s="760"/>
      <c r="AN128"/>
      <c r="BC128"/>
      <c r="BD128"/>
      <c r="BE128"/>
      <c r="BF128"/>
      <c r="BG128"/>
      <c r="BH128"/>
      <c r="BI128"/>
      <c r="BJ128"/>
      <c r="BK128"/>
      <c r="BL128"/>
      <c r="BM128"/>
      <c r="BN128"/>
      <c r="BO128" s="760"/>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row>
    <row r="129" spans="1:258" ht="23.25" customHeight="1" thickBot="1">
      <c r="A129" s="760"/>
      <c r="C129" s="2229"/>
      <c r="D129" s="760"/>
      <c r="E129" s="760"/>
      <c r="F129" s="760"/>
      <c r="G129" s="760"/>
      <c r="H129" s="760"/>
      <c r="I129" s="760"/>
      <c r="J129" s="760"/>
      <c r="K129" s="760"/>
      <c r="L129" s="760"/>
      <c r="M129" s="760"/>
      <c r="N129" s="760"/>
      <c r="O129" s="760"/>
      <c r="P129" s="760"/>
      <c r="Q129" s="760"/>
      <c r="R129" s="760"/>
      <c r="S129" s="760"/>
      <c r="T129" s="760"/>
      <c r="U129" s="760"/>
      <c r="V129" s="760"/>
      <c r="W129" s="760"/>
      <c r="X129" s="760"/>
      <c r="Y129" s="760"/>
      <c r="Z129" s="760"/>
      <c r="AA129" s="1012"/>
      <c r="AB129" s="1012"/>
      <c r="AC129" s="1012"/>
      <c r="AD129" s="1012"/>
      <c r="AE129" s="760"/>
      <c r="AF129" s="760"/>
      <c r="AG129" s="760"/>
      <c r="AH129" s="760"/>
      <c r="AI129" s="760"/>
      <c r="AJ129" s="760"/>
      <c r="BO129" s="760"/>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row>
    <row r="130" spans="1:258" ht="21" thickBot="1">
      <c r="A130" s="760"/>
      <c r="C130" s="2959" t="s">
        <v>2042</v>
      </c>
      <c r="D130" s="2960"/>
      <c r="E130" s="2963" t="s">
        <v>2024</v>
      </c>
      <c r="F130" s="2964"/>
      <c r="G130" s="2964"/>
      <c r="H130" s="2964"/>
      <c r="I130" s="2964"/>
      <c r="J130" s="2964"/>
      <c r="K130" s="2964"/>
      <c r="L130" s="2964"/>
      <c r="M130" s="2964"/>
      <c r="N130" s="2965"/>
      <c r="O130" s="2966" t="s">
        <v>2025</v>
      </c>
      <c r="P130" s="2967"/>
      <c r="Q130" s="2970" t="s">
        <v>987</v>
      </c>
      <c r="R130" s="2971"/>
      <c r="S130" s="2971"/>
      <c r="T130" s="2971"/>
      <c r="U130" s="2971"/>
      <c r="V130" s="2971"/>
      <c r="W130" s="2972"/>
      <c r="X130" s="2878" t="s">
        <v>988</v>
      </c>
      <c r="Y130" s="2879"/>
      <c r="Z130" s="2879"/>
      <c r="AA130" s="2879"/>
      <c r="AB130" s="2879"/>
      <c r="AC130" s="2879"/>
      <c r="AD130" s="2880"/>
      <c r="AE130" s="760"/>
      <c r="AF130" s="760"/>
      <c r="AG130" s="760"/>
      <c r="AH130" s="760"/>
      <c r="AI130" s="760"/>
      <c r="AJ130" s="760"/>
      <c r="BO130" s="76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row>
    <row r="131" spans="1:258" ht="18.75" thickBot="1">
      <c r="A131" s="760"/>
      <c r="C131" s="2961"/>
      <c r="D131" s="2962"/>
      <c r="E131" s="2973" t="s">
        <v>2005</v>
      </c>
      <c r="F131" s="2974"/>
      <c r="G131" s="2974"/>
      <c r="H131" s="2974"/>
      <c r="I131" s="2974"/>
      <c r="J131" s="2974"/>
      <c r="K131" s="2974"/>
      <c r="L131" s="2974"/>
      <c r="M131" s="2974"/>
      <c r="N131" s="2975"/>
      <c r="O131" s="2968"/>
      <c r="P131" s="2969"/>
      <c r="Q131" s="2066" t="s">
        <v>990</v>
      </c>
      <c r="R131" s="2067" t="s">
        <v>991</v>
      </c>
      <c r="S131" s="2976" t="s">
        <v>992</v>
      </c>
      <c r="T131" s="2977"/>
      <c r="U131" s="2978"/>
      <c r="V131" s="2068" t="s">
        <v>993</v>
      </c>
      <c r="W131" s="2069" t="s">
        <v>994</v>
      </c>
      <c r="X131" s="1096" t="s">
        <v>990</v>
      </c>
      <c r="Y131" s="1097" t="s">
        <v>991</v>
      </c>
      <c r="Z131" s="2979" t="s">
        <v>992</v>
      </c>
      <c r="AA131" s="2980"/>
      <c r="AB131" s="2981"/>
      <c r="AC131" s="1098" t="s">
        <v>993</v>
      </c>
      <c r="AD131" s="1099" t="s">
        <v>994</v>
      </c>
      <c r="AE131" s="760"/>
      <c r="AF131" s="760"/>
      <c r="AG131" s="760"/>
      <c r="AH131" s="760"/>
      <c r="AI131" s="760"/>
      <c r="AJ131" s="760"/>
      <c r="BO131" s="760"/>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row>
    <row r="132" spans="1:258" ht="23.25" customHeight="1" thickBot="1">
      <c r="A132" s="760"/>
      <c r="C132" s="2230" t="s">
        <v>904</v>
      </c>
      <c r="D132" s="2041"/>
      <c r="E132" s="2928" t="s">
        <v>910</v>
      </c>
      <c r="F132" s="2929"/>
      <c r="G132" s="2930" t="s">
        <v>120</v>
      </c>
      <c r="H132" s="2929"/>
      <c r="I132" s="2930" t="s">
        <v>116</v>
      </c>
      <c r="J132" s="2929"/>
      <c r="K132" s="2930" t="s">
        <v>913</v>
      </c>
      <c r="L132" s="2929"/>
      <c r="M132" s="2930" t="s">
        <v>914</v>
      </c>
      <c r="N132" s="2931"/>
      <c r="O132" s="1444" t="s">
        <v>120</v>
      </c>
      <c r="P132" s="1445" t="s">
        <v>983</v>
      </c>
      <c r="Q132" s="2070"/>
      <c r="R132" s="2071"/>
      <c r="S132" s="2072" t="s">
        <v>910</v>
      </c>
      <c r="T132" s="2073" t="s">
        <v>996</v>
      </c>
      <c r="U132" s="2074" t="s">
        <v>983</v>
      </c>
      <c r="V132" s="2075"/>
      <c r="W132" s="2076"/>
      <c r="X132" s="1100"/>
      <c r="Y132" s="1101"/>
      <c r="Z132" s="1102" t="s">
        <v>910</v>
      </c>
      <c r="AA132" s="1101" t="s">
        <v>996</v>
      </c>
      <c r="AB132" s="1103" t="s">
        <v>983</v>
      </c>
      <c r="AC132" s="1098"/>
      <c r="AD132" s="1099"/>
      <c r="AE132" s="760"/>
      <c r="AF132" s="760"/>
      <c r="AG132" s="760"/>
      <c r="AH132" s="760"/>
      <c r="AI132" s="760"/>
      <c r="AJ132" s="760"/>
      <c r="BO132" s="760"/>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row>
    <row r="133" spans="1:258" ht="23.25" customHeight="1" thickBot="1">
      <c r="A133" s="760"/>
      <c r="C133" s="2232" t="s">
        <v>2043</v>
      </c>
      <c r="D133" s="2042"/>
      <c r="E133" s="2040" t="s">
        <v>998</v>
      </c>
      <c r="F133" s="1104" t="s">
        <v>999</v>
      </c>
      <c r="G133" s="1104" t="s">
        <v>998</v>
      </c>
      <c r="H133" s="1104" t="s">
        <v>999</v>
      </c>
      <c r="I133" s="1104" t="s">
        <v>998</v>
      </c>
      <c r="J133" s="1104" t="s">
        <v>999</v>
      </c>
      <c r="K133" s="1104" t="s">
        <v>998</v>
      </c>
      <c r="L133" s="1104" t="s">
        <v>999</v>
      </c>
      <c r="M133" s="1105" t="s">
        <v>998</v>
      </c>
      <c r="N133" s="1104" t="s">
        <v>999</v>
      </c>
      <c r="O133" s="2918" t="s">
        <v>999</v>
      </c>
      <c r="P133" s="2919"/>
      <c r="Q133" s="2920" t="s">
        <v>1000</v>
      </c>
      <c r="R133" s="2921"/>
      <c r="S133" s="2922" t="s">
        <v>1000</v>
      </c>
      <c r="T133" s="2923"/>
      <c r="U133" s="2924"/>
      <c r="V133" s="2077"/>
      <c r="W133" s="2078"/>
      <c r="X133" s="2925" t="s">
        <v>1001</v>
      </c>
      <c r="Y133" s="2926"/>
      <c r="Z133" s="2925" t="s">
        <v>1001</v>
      </c>
      <c r="AA133" s="2927"/>
      <c r="AB133" s="2926"/>
      <c r="AC133" s="1106"/>
      <c r="AD133" s="1107"/>
      <c r="AE133" s="760"/>
      <c r="AF133" s="760"/>
      <c r="AG133" s="760"/>
      <c r="AH133" s="760"/>
      <c r="AI133" s="760"/>
      <c r="AJ133" s="760"/>
      <c r="BO133" s="760"/>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row>
    <row r="134" spans="1:258" ht="21" customHeight="1">
      <c r="A134" s="760"/>
      <c r="B134" s="485"/>
      <c r="C134" s="2405" t="s">
        <v>1085</v>
      </c>
      <c r="D134" s="2406"/>
      <c r="E134" s="2407" t="s">
        <v>1086</v>
      </c>
      <c r="F134" s="2408"/>
      <c r="G134" s="1932"/>
      <c r="H134" s="2408"/>
      <c r="I134" s="1932"/>
      <c r="J134" s="2408"/>
      <c r="K134" s="1932"/>
      <c r="L134" s="2408"/>
      <c r="M134" s="1932"/>
      <c r="N134" s="2409"/>
      <c r="O134" s="2410" t="s">
        <v>1086</v>
      </c>
      <c r="P134" s="2411"/>
      <c r="Q134" s="2412">
        <v>90</v>
      </c>
      <c r="R134" s="2413">
        <v>75</v>
      </c>
      <c r="S134" s="2414">
        <v>55</v>
      </c>
      <c r="T134" s="2415">
        <v>60</v>
      </c>
      <c r="U134" s="2416">
        <v>70</v>
      </c>
      <c r="V134" s="2417" t="s">
        <v>1007</v>
      </c>
      <c r="W134" s="2418" t="s">
        <v>1008</v>
      </c>
      <c r="X134" s="2490" t="s">
        <v>1086</v>
      </c>
      <c r="Y134" s="2419"/>
      <c r="Z134" s="2420"/>
      <c r="AA134" s="2419"/>
      <c r="AB134" s="2421"/>
      <c r="AC134" s="2422"/>
      <c r="AD134" s="2423"/>
      <c r="AE134" s="760"/>
      <c r="AF134" s="1108"/>
      <c r="AG134" s="1108"/>
      <c r="AH134" s="1108"/>
      <c r="AI134" s="760"/>
      <c r="AJ134" s="760"/>
      <c r="AK134"/>
      <c r="AL134"/>
      <c r="AM134"/>
      <c r="AN134"/>
      <c r="BO134" s="760"/>
    </row>
    <row r="135" spans="1:258" ht="21" customHeight="1">
      <c r="A135" s="760"/>
      <c r="B135" s="485"/>
      <c r="C135" s="2405" t="s">
        <v>1087</v>
      </c>
      <c r="D135" s="2406"/>
      <c r="E135" s="2424" t="s">
        <v>1088</v>
      </c>
      <c r="F135" s="2408">
        <v>40</v>
      </c>
      <c r="G135" s="1932" t="s">
        <v>1089</v>
      </c>
      <c r="H135" s="2408">
        <v>40</v>
      </c>
      <c r="I135" s="1932" t="s">
        <v>1090</v>
      </c>
      <c r="J135" s="2408">
        <v>40</v>
      </c>
      <c r="K135" s="1932" t="s">
        <v>1091</v>
      </c>
      <c r="L135" s="2408">
        <v>40</v>
      </c>
      <c r="M135" s="1932" t="s">
        <v>1092</v>
      </c>
      <c r="N135" s="2409">
        <v>40</v>
      </c>
      <c r="O135" s="2425">
        <v>40</v>
      </c>
      <c r="P135" s="2411">
        <v>40</v>
      </c>
      <c r="Q135" s="2426">
        <v>85</v>
      </c>
      <c r="R135" s="2427">
        <v>70</v>
      </c>
      <c r="S135" s="2428">
        <v>50</v>
      </c>
      <c r="T135" s="2429">
        <v>55</v>
      </c>
      <c r="U135" s="2430">
        <v>65</v>
      </c>
      <c r="V135" s="2431" t="s">
        <v>1007</v>
      </c>
      <c r="W135" s="2432" t="s">
        <v>1008</v>
      </c>
      <c r="X135" s="2433">
        <v>75</v>
      </c>
      <c r="Y135" s="2434">
        <v>65</v>
      </c>
      <c r="Z135" s="2435">
        <v>45</v>
      </c>
      <c r="AA135" s="2436">
        <v>50</v>
      </c>
      <c r="AB135" s="2437">
        <v>60</v>
      </c>
      <c r="AC135" s="2438" t="s">
        <v>1869</v>
      </c>
      <c r="AD135" s="2439" t="s">
        <v>1008</v>
      </c>
      <c r="AE135" s="760"/>
      <c r="AF135" s="1108"/>
      <c r="AG135" s="1108"/>
      <c r="AH135" s="1108"/>
      <c r="AI135" s="760"/>
      <c r="AJ135" s="760"/>
      <c r="AK135"/>
      <c r="AL135"/>
      <c r="AM135"/>
      <c r="AN135"/>
      <c r="BO135" s="760"/>
    </row>
    <row r="136" spans="1:258" ht="21" customHeight="1">
      <c r="A136" s="760"/>
      <c r="B136" s="485"/>
      <c r="C136" s="2405" t="s">
        <v>1931</v>
      </c>
      <c r="D136" s="2406"/>
      <c r="E136" s="2424" t="s">
        <v>1049</v>
      </c>
      <c r="F136" s="2408">
        <v>60</v>
      </c>
      <c r="G136" s="1932" t="s">
        <v>1050</v>
      </c>
      <c r="H136" s="2408">
        <v>60</v>
      </c>
      <c r="I136" s="1932" t="s">
        <v>1046</v>
      </c>
      <c r="J136" s="2408">
        <v>60</v>
      </c>
      <c r="K136" s="1932" t="s">
        <v>1047</v>
      </c>
      <c r="L136" s="2408">
        <v>60</v>
      </c>
      <c r="M136" s="1932" t="s">
        <v>1048</v>
      </c>
      <c r="N136" s="2409">
        <v>60</v>
      </c>
      <c r="O136" s="2742" t="s">
        <v>1819</v>
      </c>
      <c r="P136" s="2149" t="s">
        <v>1819</v>
      </c>
      <c r="Q136" s="2426">
        <v>100</v>
      </c>
      <c r="R136" s="2427">
        <v>80</v>
      </c>
      <c r="S136" s="2428">
        <v>60</v>
      </c>
      <c r="T136" s="2429">
        <v>65</v>
      </c>
      <c r="U136" s="2430">
        <v>75</v>
      </c>
      <c r="V136" s="2431" t="s">
        <v>1007</v>
      </c>
      <c r="W136" s="2432" t="s">
        <v>1008</v>
      </c>
      <c r="X136" s="2433">
        <v>150</v>
      </c>
      <c r="Y136" s="2434">
        <v>125</v>
      </c>
      <c r="Z136" s="2435">
        <v>90</v>
      </c>
      <c r="AA136" s="2436">
        <v>100</v>
      </c>
      <c r="AB136" s="2437">
        <v>115</v>
      </c>
      <c r="AC136" s="2438" t="s">
        <v>1869</v>
      </c>
      <c r="AD136" s="2439" t="s">
        <v>1008</v>
      </c>
      <c r="AE136" s="760"/>
      <c r="AF136" s="1108"/>
      <c r="AG136" s="1108"/>
      <c r="AH136" s="1108"/>
      <c r="AI136" s="760"/>
      <c r="AJ136" s="760"/>
      <c r="AK136"/>
      <c r="AL136"/>
      <c r="AM136"/>
      <c r="AN136"/>
      <c r="BO136" s="760"/>
    </row>
    <row r="137" spans="1:258" ht="21" customHeight="1">
      <c r="A137" s="760"/>
      <c r="B137" s="485"/>
      <c r="C137" s="2405" t="s">
        <v>1093</v>
      </c>
      <c r="D137" s="2406"/>
      <c r="E137" s="2424" t="s">
        <v>1094</v>
      </c>
      <c r="F137" s="2408">
        <v>50</v>
      </c>
      <c r="G137" s="1932" t="s">
        <v>1089</v>
      </c>
      <c r="H137" s="2408">
        <v>50</v>
      </c>
      <c r="I137" s="1932" t="s">
        <v>1090</v>
      </c>
      <c r="J137" s="2408">
        <v>50</v>
      </c>
      <c r="K137" s="1932" t="s">
        <v>1053</v>
      </c>
      <c r="L137" s="2408">
        <v>50</v>
      </c>
      <c r="M137" s="1932" t="s">
        <v>1095</v>
      </c>
      <c r="N137" s="2409">
        <v>50</v>
      </c>
      <c r="O137" s="2425">
        <v>50</v>
      </c>
      <c r="P137" s="2411">
        <v>50</v>
      </c>
      <c r="Q137" s="2426">
        <v>85</v>
      </c>
      <c r="R137" s="2427">
        <v>70</v>
      </c>
      <c r="S137" s="2428">
        <v>50</v>
      </c>
      <c r="T137" s="2429">
        <v>55</v>
      </c>
      <c r="U137" s="2430">
        <v>65</v>
      </c>
      <c r="V137" s="2431" t="s">
        <v>1007</v>
      </c>
      <c r="W137" s="2432" t="s">
        <v>1008</v>
      </c>
      <c r="X137" s="2433">
        <v>75</v>
      </c>
      <c r="Y137" s="2434">
        <v>65</v>
      </c>
      <c r="Z137" s="2435">
        <v>45</v>
      </c>
      <c r="AA137" s="2436">
        <v>50</v>
      </c>
      <c r="AB137" s="2437">
        <v>60</v>
      </c>
      <c r="AC137" s="2438" t="s">
        <v>1869</v>
      </c>
      <c r="AD137" s="2439" t="s">
        <v>1008</v>
      </c>
      <c r="AE137" s="760"/>
      <c r="AF137" s="1108"/>
      <c r="AG137" s="1108"/>
      <c r="AH137" s="1108"/>
      <c r="AI137" s="760"/>
      <c r="AJ137" s="760"/>
      <c r="AK137"/>
      <c r="AL137"/>
      <c r="AM137"/>
      <c r="AN137"/>
      <c r="BO137" s="760"/>
    </row>
    <row r="138" spans="1:258" ht="21" customHeight="1">
      <c r="A138" s="760"/>
      <c r="B138" s="485"/>
      <c r="C138" s="2405" t="s">
        <v>1096</v>
      </c>
      <c r="D138" s="2406"/>
      <c r="E138" s="2424" t="s">
        <v>1068</v>
      </c>
      <c r="F138" s="2408">
        <v>40</v>
      </c>
      <c r="G138" s="1932" t="s">
        <v>1069</v>
      </c>
      <c r="H138" s="2408">
        <v>40</v>
      </c>
      <c r="I138" s="1932" t="s">
        <v>1097</v>
      </c>
      <c r="J138" s="2408">
        <v>40</v>
      </c>
      <c r="K138" s="1932" t="s">
        <v>1080</v>
      </c>
      <c r="L138" s="2408">
        <v>40</v>
      </c>
      <c r="M138" s="1932" t="s">
        <v>1098</v>
      </c>
      <c r="N138" s="2409">
        <v>40</v>
      </c>
      <c r="O138" s="2425">
        <v>40</v>
      </c>
      <c r="P138" s="2411">
        <v>40</v>
      </c>
      <c r="Q138" s="2426">
        <v>85</v>
      </c>
      <c r="R138" s="2427">
        <v>70</v>
      </c>
      <c r="S138" s="2428">
        <v>50</v>
      </c>
      <c r="T138" s="2429">
        <v>55</v>
      </c>
      <c r="U138" s="2430">
        <v>65</v>
      </c>
      <c r="V138" s="2431" t="s">
        <v>1007</v>
      </c>
      <c r="W138" s="2432" t="s">
        <v>1008</v>
      </c>
      <c r="X138" s="2433">
        <v>150</v>
      </c>
      <c r="Y138" s="2434">
        <v>125</v>
      </c>
      <c r="Z138" s="2435">
        <v>90</v>
      </c>
      <c r="AA138" s="2436">
        <v>100</v>
      </c>
      <c r="AB138" s="2437">
        <v>115</v>
      </c>
      <c r="AC138" s="2438" t="s">
        <v>1869</v>
      </c>
      <c r="AD138" s="2439" t="s">
        <v>1008</v>
      </c>
      <c r="AE138" s="760"/>
      <c r="AF138" s="1108"/>
      <c r="AG138" s="1108"/>
      <c r="AH138" s="1108"/>
      <c r="AI138" s="760"/>
      <c r="AJ138" s="760"/>
      <c r="AK138"/>
      <c r="AL138"/>
      <c r="AM138"/>
      <c r="AN138"/>
      <c r="BO138" s="760"/>
    </row>
    <row r="139" spans="1:258" ht="21" customHeight="1">
      <c r="A139" s="760"/>
      <c r="B139" s="485"/>
      <c r="C139" s="2405" t="s">
        <v>1932</v>
      </c>
      <c r="D139" s="2406"/>
      <c r="E139" s="2424" t="s">
        <v>1099</v>
      </c>
      <c r="F139" s="2408">
        <v>105</v>
      </c>
      <c r="G139" s="1932" t="s">
        <v>1010</v>
      </c>
      <c r="H139" s="2408">
        <v>145</v>
      </c>
      <c r="I139" s="1932" t="s">
        <v>1011</v>
      </c>
      <c r="J139" s="2408">
        <v>170</v>
      </c>
      <c r="K139" s="1932" t="s">
        <v>1004</v>
      </c>
      <c r="L139" s="2408">
        <v>180</v>
      </c>
      <c r="M139" s="1932" t="s">
        <v>1012</v>
      </c>
      <c r="N139" s="2409">
        <v>195</v>
      </c>
      <c r="O139" s="2425">
        <v>80</v>
      </c>
      <c r="P139" s="2411">
        <v>80</v>
      </c>
      <c r="Q139" s="2426">
        <v>85</v>
      </c>
      <c r="R139" s="2427">
        <v>70</v>
      </c>
      <c r="S139" s="2428">
        <v>50</v>
      </c>
      <c r="T139" s="2429">
        <v>55</v>
      </c>
      <c r="U139" s="2430">
        <v>65</v>
      </c>
      <c r="V139" s="2431" t="s">
        <v>1007</v>
      </c>
      <c r="W139" s="2432" t="s">
        <v>1008</v>
      </c>
      <c r="X139" s="2433">
        <v>120</v>
      </c>
      <c r="Y139" s="2434">
        <v>100</v>
      </c>
      <c r="Z139" s="2435">
        <v>70</v>
      </c>
      <c r="AA139" s="2436">
        <v>80</v>
      </c>
      <c r="AB139" s="2437">
        <v>90</v>
      </c>
      <c r="AC139" s="2438" t="s">
        <v>1869</v>
      </c>
      <c r="AD139" s="2439" t="s">
        <v>1008</v>
      </c>
      <c r="AE139" s="760"/>
      <c r="AF139" s="1108"/>
      <c r="AG139" s="1108"/>
      <c r="AH139" s="1108"/>
      <c r="AI139" s="760"/>
      <c r="AJ139" s="760"/>
      <c r="AK139"/>
      <c r="AL139"/>
      <c r="AM139"/>
      <c r="AN139"/>
      <c r="BO139" s="760"/>
    </row>
    <row r="140" spans="1:258" ht="21" customHeight="1">
      <c r="A140" s="760"/>
      <c r="B140" s="485"/>
      <c r="C140" s="2405" t="s">
        <v>1933</v>
      </c>
      <c r="D140" s="2406"/>
      <c r="E140" s="2424" t="s">
        <v>1099</v>
      </c>
      <c r="F140" s="2408">
        <v>105</v>
      </c>
      <c r="G140" s="1932" t="s">
        <v>1010</v>
      </c>
      <c r="H140" s="2408">
        <v>145</v>
      </c>
      <c r="I140" s="1932" t="s">
        <v>1011</v>
      </c>
      <c r="J140" s="2408">
        <v>170</v>
      </c>
      <c r="K140" s="1932" t="s">
        <v>1004</v>
      </c>
      <c r="L140" s="2408">
        <v>180</v>
      </c>
      <c r="M140" s="1932" t="s">
        <v>1012</v>
      </c>
      <c r="N140" s="2409">
        <v>195</v>
      </c>
      <c r="O140" s="2440">
        <v>80</v>
      </c>
      <c r="P140" s="2441">
        <v>80</v>
      </c>
      <c r="Q140" s="2426">
        <v>85</v>
      </c>
      <c r="R140" s="2427">
        <v>70</v>
      </c>
      <c r="S140" s="2428">
        <v>50</v>
      </c>
      <c r="T140" s="2429">
        <v>55</v>
      </c>
      <c r="U140" s="2430">
        <v>65</v>
      </c>
      <c r="V140" s="2431" t="s">
        <v>1007</v>
      </c>
      <c r="W140" s="2432" t="s">
        <v>1008</v>
      </c>
      <c r="X140" s="2433">
        <v>120</v>
      </c>
      <c r="Y140" s="2434">
        <v>100</v>
      </c>
      <c r="Z140" s="2435">
        <v>70</v>
      </c>
      <c r="AA140" s="2436">
        <v>80</v>
      </c>
      <c r="AB140" s="2437">
        <v>90</v>
      </c>
      <c r="AC140" s="2438" t="s">
        <v>1869</v>
      </c>
      <c r="AD140" s="2439" t="s">
        <v>1008</v>
      </c>
      <c r="AE140" s="760"/>
      <c r="AF140" s="1108"/>
      <c r="AG140" s="1108"/>
      <c r="AH140" s="1108"/>
      <c r="AI140" s="760"/>
      <c r="AJ140" s="760"/>
      <c r="AK140"/>
      <c r="AL140"/>
      <c r="AM140"/>
      <c r="AN140"/>
      <c r="BO140" s="760"/>
    </row>
    <row r="141" spans="1:258" ht="21" customHeight="1">
      <c r="A141" s="760"/>
      <c r="B141" s="485"/>
      <c r="C141" s="2405" t="s">
        <v>1100</v>
      </c>
      <c r="D141" s="2406"/>
      <c r="E141" s="2407" t="s">
        <v>1934</v>
      </c>
      <c r="F141" s="2408"/>
      <c r="G141" s="2442"/>
      <c r="H141" s="2408"/>
      <c r="I141" s="2442"/>
      <c r="J141" s="2408"/>
      <c r="K141" s="1932"/>
      <c r="L141" s="2408"/>
      <c r="M141" s="1932"/>
      <c r="N141" s="2409"/>
      <c r="O141" s="2425">
        <v>0</v>
      </c>
      <c r="P141" s="2411">
        <v>0</v>
      </c>
      <c r="Q141" s="2426">
        <v>90</v>
      </c>
      <c r="R141" s="2427">
        <v>75</v>
      </c>
      <c r="S141" s="2428">
        <v>55</v>
      </c>
      <c r="T141" s="2429">
        <v>60</v>
      </c>
      <c r="U141" s="2430">
        <v>70</v>
      </c>
      <c r="V141" s="2431" t="s">
        <v>1007</v>
      </c>
      <c r="W141" s="2432" t="s">
        <v>1008</v>
      </c>
      <c r="X141" s="2433">
        <v>135</v>
      </c>
      <c r="Y141" s="2434">
        <v>115</v>
      </c>
      <c r="Z141" s="2435">
        <v>80</v>
      </c>
      <c r="AA141" s="2436">
        <v>90</v>
      </c>
      <c r="AB141" s="2437">
        <v>105</v>
      </c>
      <c r="AC141" s="2438" t="s">
        <v>1869</v>
      </c>
      <c r="AD141" s="2439" t="s">
        <v>1008</v>
      </c>
      <c r="AE141" s="760"/>
      <c r="AF141" s="1108"/>
      <c r="AG141" s="1108"/>
      <c r="AH141" s="1108"/>
      <c r="AI141" s="760"/>
      <c r="AJ141" s="760"/>
      <c r="AK141"/>
      <c r="AL141"/>
      <c r="AM141"/>
      <c r="AN141"/>
      <c r="BO141" s="760"/>
    </row>
    <row r="142" spans="1:258" ht="21" customHeight="1">
      <c r="A142" s="760"/>
      <c r="B142" s="485"/>
      <c r="C142" s="2405" t="s">
        <v>1101</v>
      </c>
      <c r="D142" s="2406"/>
      <c r="E142" s="2424" t="s">
        <v>1102</v>
      </c>
      <c r="F142" s="2408">
        <v>50</v>
      </c>
      <c r="G142" s="1932" t="s">
        <v>1103</v>
      </c>
      <c r="H142" s="2408">
        <v>50</v>
      </c>
      <c r="I142" s="1932" t="s">
        <v>1104</v>
      </c>
      <c r="J142" s="2408">
        <v>50</v>
      </c>
      <c r="K142" s="1932" t="s">
        <v>1105</v>
      </c>
      <c r="L142" s="2408">
        <v>50</v>
      </c>
      <c r="M142" s="1932" t="s">
        <v>1106</v>
      </c>
      <c r="N142" s="2409">
        <v>50</v>
      </c>
      <c r="O142" s="2425">
        <v>50</v>
      </c>
      <c r="P142" s="2411">
        <v>50</v>
      </c>
      <c r="Q142" s="2426">
        <v>85</v>
      </c>
      <c r="R142" s="2427">
        <v>70</v>
      </c>
      <c r="S142" s="2428">
        <v>50</v>
      </c>
      <c r="T142" s="2429">
        <v>55</v>
      </c>
      <c r="U142" s="2430">
        <v>65</v>
      </c>
      <c r="V142" s="2431" t="s">
        <v>1007</v>
      </c>
      <c r="W142" s="2432" t="s">
        <v>1008</v>
      </c>
      <c r="X142" s="2433">
        <v>120</v>
      </c>
      <c r="Y142" s="2434">
        <v>100</v>
      </c>
      <c r="Z142" s="2435">
        <v>70</v>
      </c>
      <c r="AA142" s="2436">
        <v>80</v>
      </c>
      <c r="AB142" s="2437">
        <v>90</v>
      </c>
      <c r="AC142" s="2438" t="s">
        <v>1869</v>
      </c>
      <c r="AD142" s="2439" t="s">
        <v>1008</v>
      </c>
      <c r="AE142" s="760"/>
      <c r="AF142" s="1108"/>
      <c r="AG142" s="1108"/>
      <c r="AH142" s="1108"/>
      <c r="AI142" s="760"/>
      <c r="AJ142" s="760"/>
      <c r="AK142"/>
      <c r="AL142"/>
      <c r="AM142"/>
      <c r="AN142"/>
      <c r="BO142" s="760"/>
    </row>
    <row r="143" spans="1:258" ht="21" customHeight="1">
      <c r="A143" s="760"/>
      <c r="B143" s="485"/>
      <c r="C143" s="2405" t="s">
        <v>1935</v>
      </c>
      <c r="D143" s="2406"/>
      <c r="E143" s="2424" t="s">
        <v>1023</v>
      </c>
      <c r="F143" s="2408">
        <v>130</v>
      </c>
      <c r="G143" s="1932" t="s">
        <v>1024</v>
      </c>
      <c r="H143" s="2408">
        <v>175</v>
      </c>
      <c r="I143" s="1932" t="s">
        <v>1025</v>
      </c>
      <c r="J143" s="2408">
        <v>210</v>
      </c>
      <c r="K143" s="1932" t="s">
        <v>1026</v>
      </c>
      <c r="L143" s="2408">
        <v>225</v>
      </c>
      <c r="M143" s="1932" t="s">
        <v>1027</v>
      </c>
      <c r="N143" s="2409">
        <v>240</v>
      </c>
      <c r="O143" s="2425">
        <v>160</v>
      </c>
      <c r="P143" s="2411">
        <v>180</v>
      </c>
      <c r="Q143" s="2426">
        <v>130</v>
      </c>
      <c r="R143" s="2427">
        <v>105</v>
      </c>
      <c r="S143" s="2428">
        <v>75</v>
      </c>
      <c r="T143" s="2429">
        <v>85</v>
      </c>
      <c r="U143" s="2430">
        <v>100</v>
      </c>
      <c r="V143" s="2431" t="s">
        <v>1007</v>
      </c>
      <c r="W143" s="2432" t="s">
        <v>1008</v>
      </c>
      <c r="X143" s="2433">
        <v>340</v>
      </c>
      <c r="Y143" s="2434">
        <v>280</v>
      </c>
      <c r="Z143" s="2435">
        <v>200</v>
      </c>
      <c r="AA143" s="2436">
        <v>225</v>
      </c>
      <c r="AB143" s="2437">
        <v>260</v>
      </c>
      <c r="AC143" s="2438" t="s">
        <v>1869</v>
      </c>
      <c r="AD143" s="2439" t="s">
        <v>1008</v>
      </c>
      <c r="AE143" s="760"/>
      <c r="AF143" s="1108"/>
      <c r="AG143" s="1108"/>
      <c r="AH143" s="1108"/>
      <c r="AI143" s="760"/>
      <c r="AJ143" s="760"/>
      <c r="AK143"/>
      <c r="AL143"/>
      <c r="AM143"/>
      <c r="AN143"/>
      <c r="BO143" s="760"/>
    </row>
    <row r="144" spans="1:258" ht="21" customHeight="1">
      <c r="A144" s="760"/>
      <c r="B144" s="485"/>
      <c r="C144" s="2405" t="s">
        <v>1936</v>
      </c>
      <c r="D144" s="2406"/>
      <c r="E144" s="2424" t="s">
        <v>1002</v>
      </c>
      <c r="F144" s="2408">
        <v>80</v>
      </c>
      <c r="G144" s="1932" t="s">
        <v>1013</v>
      </c>
      <c r="H144" s="2408">
        <v>110</v>
      </c>
      <c r="I144" s="1932" t="s">
        <v>1014</v>
      </c>
      <c r="J144" s="2408">
        <v>130</v>
      </c>
      <c r="K144" s="1932" t="s">
        <v>1015</v>
      </c>
      <c r="L144" s="2408">
        <v>140</v>
      </c>
      <c r="M144" s="1932" t="s">
        <v>1016</v>
      </c>
      <c r="N144" s="2409">
        <v>150</v>
      </c>
      <c r="O144" s="2425">
        <v>100</v>
      </c>
      <c r="P144" s="2411">
        <v>110</v>
      </c>
      <c r="Q144" s="2426">
        <v>85</v>
      </c>
      <c r="R144" s="2427">
        <v>70</v>
      </c>
      <c r="S144" s="2428">
        <v>50</v>
      </c>
      <c r="T144" s="2429">
        <v>55</v>
      </c>
      <c r="U144" s="2430">
        <v>65</v>
      </c>
      <c r="V144" s="2431" t="s">
        <v>1007</v>
      </c>
      <c r="W144" s="2432" t="s">
        <v>1008</v>
      </c>
      <c r="X144" s="2433">
        <v>120</v>
      </c>
      <c r="Y144" s="2434">
        <v>100</v>
      </c>
      <c r="Z144" s="2435">
        <v>70</v>
      </c>
      <c r="AA144" s="2436">
        <v>80</v>
      </c>
      <c r="AB144" s="2437">
        <v>90</v>
      </c>
      <c r="AC144" s="2438" t="s">
        <v>1869</v>
      </c>
      <c r="AD144" s="2439" t="s">
        <v>1008</v>
      </c>
      <c r="AE144" s="760"/>
      <c r="AF144" s="1108"/>
      <c r="AG144" s="1108"/>
      <c r="AH144" s="1108"/>
      <c r="AI144" s="760"/>
      <c r="AJ144" s="760"/>
      <c r="AK144"/>
      <c r="AL144"/>
      <c r="AM144"/>
      <c r="AN144"/>
      <c r="BO144" s="760"/>
    </row>
    <row r="145" spans="1:67" ht="21" customHeight="1">
      <c r="A145" s="760"/>
      <c r="B145" s="485"/>
      <c r="C145" s="2405" t="s">
        <v>1107</v>
      </c>
      <c r="D145" s="2406"/>
      <c r="E145" s="2424" t="s">
        <v>1937</v>
      </c>
      <c r="F145" s="2408">
        <v>60</v>
      </c>
      <c r="G145" s="1932" t="s">
        <v>1938</v>
      </c>
      <c r="H145" s="2408">
        <v>80</v>
      </c>
      <c r="I145" s="1932" t="s">
        <v>1939</v>
      </c>
      <c r="J145" s="2408">
        <v>120</v>
      </c>
      <c r="K145" s="1932"/>
      <c r="L145" s="2408">
        <v>120</v>
      </c>
      <c r="M145" s="1932"/>
      <c r="N145" s="2409">
        <v>120</v>
      </c>
      <c r="O145" s="2425">
        <v>70</v>
      </c>
      <c r="P145" s="2411">
        <v>70</v>
      </c>
      <c r="Q145" s="2426">
        <v>85</v>
      </c>
      <c r="R145" s="2427">
        <v>70</v>
      </c>
      <c r="S145" s="2428">
        <v>50</v>
      </c>
      <c r="T145" s="2429">
        <v>55</v>
      </c>
      <c r="U145" s="2430">
        <v>65</v>
      </c>
      <c r="V145" s="2431" t="s">
        <v>1007</v>
      </c>
      <c r="W145" s="2432" t="s">
        <v>1008</v>
      </c>
      <c r="X145" s="2433">
        <v>205</v>
      </c>
      <c r="Y145" s="2434">
        <v>170</v>
      </c>
      <c r="Z145" s="2435">
        <v>120</v>
      </c>
      <c r="AA145" s="2436">
        <v>135</v>
      </c>
      <c r="AB145" s="2437">
        <v>155</v>
      </c>
      <c r="AC145" s="2438" t="s">
        <v>1869</v>
      </c>
      <c r="AD145" s="2439" t="s">
        <v>1008</v>
      </c>
      <c r="AE145" s="760"/>
      <c r="AF145" s="1108"/>
      <c r="AG145" s="1108"/>
      <c r="AH145" s="1108"/>
      <c r="AI145" s="760"/>
      <c r="AJ145" s="760"/>
      <c r="AK145"/>
      <c r="AL145"/>
      <c r="AM145"/>
      <c r="AN145"/>
      <c r="BO145" s="760"/>
    </row>
    <row r="146" spans="1:67" ht="21" customHeight="1">
      <c r="A146" s="760"/>
      <c r="B146" s="485"/>
      <c r="C146" s="2405" t="s">
        <v>1108</v>
      </c>
      <c r="D146" s="2406"/>
      <c r="E146" s="2424" t="s">
        <v>226</v>
      </c>
      <c r="F146" s="2408">
        <v>45</v>
      </c>
      <c r="G146" s="1932" t="s">
        <v>226</v>
      </c>
      <c r="H146" s="2408">
        <v>45</v>
      </c>
      <c r="I146" s="1932" t="s">
        <v>226</v>
      </c>
      <c r="J146" s="2408">
        <v>45</v>
      </c>
      <c r="K146" s="1932" t="s">
        <v>226</v>
      </c>
      <c r="L146" s="2408">
        <v>45</v>
      </c>
      <c r="M146" s="1932" t="s">
        <v>226</v>
      </c>
      <c r="N146" s="2409">
        <v>45</v>
      </c>
      <c r="O146" s="2425">
        <v>45</v>
      </c>
      <c r="P146" s="2411">
        <v>45</v>
      </c>
      <c r="Q146" s="2426">
        <v>25</v>
      </c>
      <c r="R146" s="2427">
        <v>20</v>
      </c>
      <c r="S146" s="2428">
        <v>15</v>
      </c>
      <c r="T146" s="2429">
        <v>15</v>
      </c>
      <c r="U146" s="2430">
        <v>15</v>
      </c>
      <c r="V146" s="2431" t="s">
        <v>1007</v>
      </c>
      <c r="W146" s="2432" t="s">
        <v>1008</v>
      </c>
      <c r="X146" s="2433">
        <v>90</v>
      </c>
      <c r="Y146" s="2434">
        <v>75</v>
      </c>
      <c r="Z146" s="2435">
        <v>55</v>
      </c>
      <c r="AA146" s="2436">
        <v>60</v>
      </c>
      <c r="AB146" s="2437">
        <v>70</v>
      </c>
      <c r="AC146" s="2438" t="s">
        <v>1869</v>
      </c>
      <c r="AD146" s="2439" t="s">
        <v>1008</v>
      </c>
      <c r="AE146" s="760"/>
      <c r="AF146" s="1108"/>
      <c r="AG146" s="1108"/>
      <c r="AH146" s="1108"/>
      <c r="AI146" s="760"/>
      <c r="AJ146" s="760"/>
      <c r="AK146"/>
      <c r="AL146"/>
      <c r="AM146"/>
      <c r="AN146"/>
      <c r="BO146" s="760"/>
    </row>
    <row r="147" spans="1:67" ht="21" customHeight="1">
      <c r="A147" s="760"/>
      <c r="B147" s="485"/>
      <c r="C147" s="2405" t="s">
        <v>1109</v>
      </c>
      <c r="D147" s="2406"/>
      <c r="E147" s="2424" t="s">
        <v>1099</v>
      </c>
      <c r="F147" s="2408">
        <v>100</v>
      </c>
      <c r="G147" s="1932" t="s">
        <v>1052</v>
      </c>
      <c r="H147" s="2408">
        <v>100</v>
      </c>
      <c r="I147" s="1932" t="s">
        <v>1110</v>
      </c>
      <c r="J147" s="2408">
        <v>100</v>
      </c>
      <c r="K147" s="1932" t="s">
        <v>1111</v>
      </c>
      <c r="L147" s="2408">
        <v>100</v>
      </c>
      <c r="M147" s="1932" t="s">
        <v>1112</v>
      </c>
      <c r="N147" s="2409">
        <v>100</v>
      </c>
      <c r="O147" s="2440">
        <v>100</v>
      </c>
      <c r="P147" s="2441">
        <v>100</v>
      </c>
      <c r="Q147" s="2426">
        <v>85</v>
      </c>
      <c r="R147" s="2427">
        <v>70</v>
      </c>
      <c r="S147" s="2428">
        <v>50</v>
      </c>
      <c r="T147" s="2429">
        <v>55</v>
      </c>
      <c r="U147" s="2430">
        <v>65</v>
      </c>
      <c r="V147" s="2431" t="s">
        <v>1007</v>
      </c>
      <c r="W147" s="2432" t="s">
        <v>1008</v>
      </c>
      <c r="X147" s="2433">
        <v>75</v>
      </c>
      <c r="Y147" s="2434">
        <v>65</v>
      </c>
      <c r="Z147" s="2443">
        <v>45</v>
      </c>
      <c r="AA147" s="2444">
        <v>50</v>
      </c>
      <c r="AB147" s="2445">
        <v>60</v>
      </c>
      <c r="AC147" s="2438" t="s">
        <v>1869</v>
      </c>
      <c r="AD147" s="2439" t="s">
        <v>1008</v>
      </c>
      <c r="AE147" s="760"/>
      <c r="AF147" s="1108"/>
      <c r="AG147" s="1108"/>
      <c r="AH147" s="1108"/>
      <c r="AI147" s="760"/>
      <c r="AJ147" s="760"/>
      <c r="AK147"/>
      <c r="AL147"/>
      <c r="AM147"/>
      <c r="AN147"/>
      <c r="BO147" s="760"/>
    </row>
    <row r="148" spans="1:67" ht="21" customHeight="1">
      <c r="A148" s="760"/>
      <c r="B148" s="485"/>
      <c r="C148" s="2405" t="s">
        <v>1113</v>
      </c>
      <c r="D148" s="2406"/>
      <c r="E148" s="2424" t="s">
        <v>1114</v>
      </c>
      <c r="F148" s="2408">
        <v>60</v>
      </c>
      <c r="G148" s="1932" t="s">
        <v>1115</v>
      </c>
      <c r="H148" s="2408">
        <v>60</v>
      </c>
      <c r="I148" s="1932" t="s">
        <v>1116</v>
      </c>
      <c r="J148" s="2408">
        <v>60</v>
      </c>
      <c r="K148" s="1932" t="s">
        <v>1117</v>
      </c>
      <c r="L148" s="2408">
        <v>60</v>
      </c>
      <c r="M148" s="1932" t="s">
        <v>1020</v>
      </c>
      <c r="N148" s="2409">
        <v>60</v>
      </c>
      <c r="O148" s="2742" t="s">
        <v>1819</v>
      </c>
      <c r="P148" s="2149" t="s">
        <v>1819</v>
      </c>
      <c r="Q148" s="2426">
        <v>85</v>
      </c>
      <c r="R148" s="2427">
        <v>70</v>
      </c>
      <c r="S148" s="2428">
        <v>50</v>
      </c>
      <c r="T148" s="2429">
        <v>55</v>
      </c>
      <c r="U148" s="2430">
        <v>65</v>
      </c>
      <c r="V148" s="2431" t="s">
        <v>1007</v>
      </c>
      <c r="W148" s="2432" t="s">
        <v>1008</v>
      </c>
      <c r="X148" s="2433">
        <v>150</v>
      </c>
      <c r="Y148" s="2434">
        <v>125</v>
      </c>
      <c r="Z148" s="2443">
        <v>90</v>
      </c>
      <c r="AA148" s="2444">
        <v>100</v>
      </c>
      <c r="AB148" s="2445">
        <v>115</v>
      </c>
      <c r="AC148" s="2438" t="s">
        <v>1869</v>
      </c>
      <c r="AD148" s="2439" t="s">
        <v>1008</v>
      </c>
      <c r="AE148" s="760"/>
      <c r="AF148" s="1108"/>
      <c r="AG148" s="1108"/>
      <c r="AH148" s="1108"/>
      <c r="AI148" s="760"/>
      <c r="AJ148" s="760"/>
      <c r="AK148"/>
      <c r="AL148"/>
      <c r="AM148"/>
      <c r="AN148"/>
      <c r="BO148" s="760"/>
    </row>
    <row r="149" spans="1:67" ht="21" customHeight="1">
      <c r="A149" s="760"/>
      <c r="B149" s="485"/>
      <c r="C149" s="2405" t="s">
        <v>1118</v>
      </c>
      <c r="D149" s="2406"/>
      <c r="E149" s="2424" t="s">
        <v>1099</v>
      </c>
      <c r="F149" s="2408">
        <v>75</v>
      </c>
      <c r="G149" s="1932" t="s">
        <v>1940</v>
      </c>
      <c r="H149" s="2408">
        <v>100</v>
      </c>
      <c r="I149" s="1932" t="s">
        <v>1120</v>
      </c>
      <c r="J149" s="2408">
        <v>115</v>
      </c>
      <c r="K149" s="1932" t="s">
        <v>1121</v>
      </c>
      <c r="L149" s="2408">
        <v>125</v>
      </c>
      <c r="M149" s="1932" t="s">
        <v>1122</v>
      </c>
      <c r="N149" s="2409">
        <v>135</v>
      </c>
      <c r="O149" s="2440">
        <v>80</v>
      </c>
      <c r="P149" s="2441">
        <v>80</v>
      </c>
      <c r="Q149" s="2426">
        <v>85</v>
      </c>
      <c r="R149" s="2427">
        <v>70</v>
      </c>
      <c r="S149" s="2428">
        <v>50</v>
      </c>
      <c r="T149" s="2429">
        <v>55</v>
      </c>
      <c r="U149" s="2430">
        <v>65</v>
      </c>
      <c r="V149" s="2431" t="s">
        <v>1007</v>
      </c>
      <c r="W149" s="2432" t="s">
        <v>1008</v>
      </c>
      <c r="X149" s="2433">
        <v>120</v>
      </c>
      <c r="Y149" s="2434">
        <v>100</v>
      </c>
      <c r="Z149" s="2443">
        <v>70</v>
      </c>
      <c r="AA149" s="2444">
        <v>80</v>
      </c>
      <c r="AB149" s="2445">
        <v>90</v>
      </c>
      <c r="AC149" s="2438" t="s">
        <v>1869</v>
      </c>
      <c r="AD149" s="2439" t="s">
        <v>1008</v>
      </c>
      <c r="AE149" s="760"/>
      <c r="AF149" s="1108"/>
      <c r="AG149" s="1108"/>
      <c r="AH149" s="1108"/>
      <c r="AI149" s="760"/>
      <c r="AJ149" s="760"/>
      <c r="AK149"/>
      <c r="AL149"/>
      <c r="AM149"/>
      <c r="AN149"/>
      <c r="BO149" s="760"/>
    </row>
    <row r="150" spans="1:67" ht="21" customHeight="1">
      <c r="A150" s="760"/>
      <c r="B150" s="485"/>
      <c r="C150" s="2405" t="s">
        <v>1123</v>
      </c>
      <c r="D150" s="2406"/>
      <c r="E150" s="2424" t="s">
        <v>1099</v>
      </c>
      <c r="F150" s="2408">
        <v>60</v>
      </c>
      <c r="G150" s="2446" t="s">
        <v>1940</v>
      </c>
      <c r="H150" s="2408">
        <v>60</v>
      </c>
      <c r="I150" s="1932" t="s">
        <v>1120</v>
      </c>
      <c r="J150" s="2408">
        <v>60</v>
      </c>
      <c r="K150" s="1932" t="s">
        <v>1121</v>
      </c>
      <c r="L150" s="2408">
        <v>60</v>
      </c>
      <c r="M150" s="1932" t="s">
        <v>1122</v>
      </c>
      <c r="N150" s="2409">
        <v>60</v>
      </c>
      <c r="O150" s="2742" t="s">
        <v>1819</v>
      </c>
      <c r="P150" s="2149" t="s">
        <v>1819</v>
      </c>
      <c r="Q150" s="2426">
        <v>100</v>
      </c>
      <c r="R150" s="2427">
        <v>80</v>
      </c>
      <c r="S150" s="2428">
        <v>60</v>
      </c>
      <c r="T150" s="2429">
        <v>65</v>
      </c>
      <c r="U150" s="2430">
        <v>75</v>
      </c>
      <c r="V150" s="2431" t="s">
        <v>1007</v>
      </c>
      <c r="W150" s="2432" t="s">
        <v>1008</v>
      </c>
      <c r="X150" s="2433">
        <v>75</v>
      </c>
      <c r="Y150" s="2434">
        <v>65</v>
      </c>
      <c r="Z150" s="2443">
        <v>45</v>
      </c>
      <c r="AA150" s="2444">
        <v>50</v>
      </c>
      <c r="AB150" s="2445">
        <v>60</v>
      </c>
      <c r="AC150" s="2438" t="s">
        <v>1869</v>
      </c>
      <c r="AD150" s="2439" t="s">
        <v>1008</v>
      </c>
      <c r="AE150" s="760"/>
      <c r="AF150" s="1108"/>
      <c r="AG150" s="1108"/>
      <c r="AH150" s="1108"/>
      <c r="AI150" s="760"/>
      <c r="AJ150" s="760"/>
      <c r="AK150"/>
      <c r="AL150"/>
      <c r="AM150"/>
      <c r="AN150"/>
      <c r="BO150" s="760"/>
    </row>
    <row r="151" spans="1:67" ht="21" customHeight="1">
      <c r="A151" s="760"/>
      <c r="B151" s="485"/>
      <c r="C151" s="2405" t="s">
        <v>1941</v>
      </c>
      <c r="D151" s="2406"/>
      <c r="E151" s="2424" t="s">
        <v>226</v>
      </c>
      <c r="F151" s="2408">
        <v>60</v>
      </c>
      <c r="G151" s="1932" t="s">
        <v>226</v>
      </c>
      <c r="H151" s="2408">
        <v>60</v>
      </c>
      <c r="I151" s="1932" t="s">
        <v>226</v>
      </c>
      <c r="J151" s="2408">
        <v>60</v>
      </c>
      <c r="K151" s="1932" t="s">
        <v>226</v>
      </c>
      <c r="L151" s="2408">
        <v>60</v>
      </c>
      <c r="M151" s="1932" t="s">
        <v>226</v>
      </c>
      <c r="N151" s="2409">
        <v>60</v>
      </c>
      <c r="O151" s="2742" t="s">
        <v>1819</v>
      </c>
      <c r="P151" s="2149" t="s">
        <v>1819</v>
      </c>
      <c r="Q151" s="2426">
        <v>100</v>
      </c>
      <c r="R151" s="2427">
        <v>80</v>
      </c>
      <c r="S151" s="2428">
        <v>60</v>
      </c>
      <c r="T151" s="2429">
        <v>65</v>
      </c>
      <c r="U151" s="2430">
        <v>75</v>
      </c>
      <c r="V151" s="2431" t="s">
        <v>1007</v>
      </c>
      <c r="W151" s="2432" t="s">
        <v>1008</v>
      </c>
      <c r="X151" s="2433">
        <v>150</v>
      </c>
      <c r="Y151" s="2434">
        <v>125</v>
      </c>
      <c r="Z151" s="2443">
        <v>90</v>
      </c>
      <c r="AA151" s="2444">
        <v>100</v>
      </c>
      <c r="AB151" s="2445">
        <v>115</v>
      </c>
      <c r="AC151" s="2438" t="s">
        <v>1869</v>
      </c>
      <c r="AD151" s="2439" t="s">
        <v>1008</v>
      </c>
      <c r="AE151" s="760"/>
      <c r="AF151" s="1108"/>
      <c r="AG151" s="1108"/>
      <c r="AH151" s="1108"/>
      <c r="AI151" s="760"/>
      <c r="AJ151" s="760"/>
      <c r="AK151"/>
      <c r="AL151"/>
      <c r="AM151"/>
      <c r="AN151"/>
      <c r="BO151" s="760"/>
    </row>
    <row r="152" spans="1:67" ht="21" customHeight="1">
      <c r="A152" s="760"/>
      <c r="B152" s="485"/>
      <c r="C152" s="2405" t="s">
        <v>1124</v>
      </c>
      <c r="D152" s="2406"/>
      <c r="E152" s="2424"/>
      <c r="F152" s="2408">
        <v>80</v>
      </c>
      <c r="G152" s="1932" t="s">
        <v>226</v>
      </c>
      <c r="H152" s="2408">
        <v>100</v>
      </c>
      <c r="I152" s="1932" t="s">
        <v>226</v>
      </c>
      <c r="J152" s="2408">
        <v>110</v>
      </c>
      <c r="K152" s="1932" t="s">
        <v>226</v>
      </c>
      <c r="L152" s="2408">
        <v>120</v>
      </c>
      <c r="M152" s="1932" t="s">
        <v>226</v>
      </c>
      <c r="N152" s="2409">
        <v>130</v>
      </c>
      <c r="O152" s="2425">
        <v>100</v>
      </c>
      <c r="P152" s="2411">
        <v>100</v>
      </c>
      <c r="Q152" s="2426">
        <v>115</v>
      </c>
      <c r="R152" s="2427">
        <v>95</v>
      </c>
      <c r="S152" s="2428">
        <v>75</v>
      </c>
      <c r="T152" s="2429">
        <v>85</v>
      </c>
      <c r="U152" s="2430">
        <v>100</v>
      </c>
      <c r="V152" s="2431" t="s">
        <v>1007</v>
      </c>
      <c r="W152" s="2432" t="s">
        <v>226</v>
      </c>
      <c r="X152" s="2433">
        <v>300</v>
      </c>
      <c r="Y152" s="2434">
        <v>250</v>
      </c>
      <c r="Z152" s="2443">
        <v>180</v>
      </c>
      <c r="AA152" s="2444">
        <v>200</v>
      </c>
      <c r="AB152" s="2445">
        <v>230</v>
      </c>
      <c r="AC152" s="2438" t="s">
        <v>1869</v>
      </c>
      <c r="AD152" s="2439" t="s">
        <v>226</v>
      </c>
      <c r="AE152" s="760"/>
      <c r="AF152" s="1108"/>
      <c r="AG152" s="1108"/>
      <c r="AH152" s="1108"/>
      <c r="AI152" s="760"/>
      <c r="AJ152" s="760"/>
      <c r="AK152"/>
      <c r="AL152"/>
      <c r="AM152"/>
      <c r="AN152"/>
      <c r="BO152" s="760"/>
    </row>
    <row r="153" spans="1:67" ht="21" customHeight="1">
      <c r="A153" s="760"/>
      <c r="B153" s="485"/>
      <c r="C153" s="2405" t="s">
        <v>1125</v>
      </c>
      <c r="D153" s="2406"/>
      <c r="E153" s="2424" t="s">
        <v>1051</v>
      </c>
      <c r="F153" s="2408">
        <v>80</v>
      </c>
      <c r="G153" s="1932" t="s">
        <v>1090</v>
      </c>
      <c r="H153" s="2408">
        <v>80</v>
      </c>
      <c r="I153" s="1932" t="s">
        <v>1091</v>
      </c>
      <c r="J153" s="2408">
        <v>80</v>
      </c>
      <c r="K153" s="1932" t="s">
        <v>1126</v>
      </c>
      <c r="L153" s="2408">
        <v>80</v>
      </c>
      <c r="M153" s="1932" t="s">
        <v>1127</v>
      </c>
      <c r="N153" s="2409">
        <v>80</v>
      </c>
      <c r="O153" s="2425">
        <v>60</v>
      </c>
      <c r="P153" s="2411">
        <v>60</v>
      </c>
      <c r="Q153" s="2426">
        <v>85</v>
      </c>
      <c r="R153" s="2427">
        <v>70</v>
      </c>
      <c r="S153" s="2428">
        <v>50</v>
      </c>
      <c r="T153" s="2429">
        <v>55</v>
      </c>
      <c r="U153" s="2430">
        <v>65</v>
      </c>
      <c r="V153" s="2431" t="s">
        <v>1007</v>
      </c>
      <c r="W153" s="2432" t="s">
        <v>1008</v>
      </c>
      <c r="X153" s="2433">
        <v>225</v>
      </c>
      <c r="Y153" s="2434">
        <v>190</v>
      </c>
      <c r="Z153" s="2443">
        <v>135</v>
      </c>
      <c r="AA153" s="2444">
        <v>150</v>
      </c>
      <c r="AB153" s="2445">
        <v>170</v>
      </c>
      <c r="AC153" s="2438" t="s">
        <v>1869</v>
      </c>
      <c r="AD153" s="2439" t="s">
        <v>1008</v>
      </c>
      <c r="AE153" s="760"/>
      <c r="AF153" s="1108"/>
      <c r="AG153" s="1108"/>
      <c r="AH153" s="1108"/>
      <c r="AI153" s="760"/>
      <c r="AJ153" s="760"/>
      <c r="AK153"/>
      <c r="AL153"/>
      <c r="AM153"/>
      <c r="AN153"/>
      <c r="BO153" s="760"/>
    </row>
    <row r="154" spans="1:67" ht="21" customHeight="1">
      <c r="A154" s="760"/>
      <c r="B154" s="485"/>
      <c r="C154" s="2405" t="s">
        <v>1128</v>
      </c>
      <c r="D154" s="2406"/>
      <c r="E154" s="2424" t="s">
        <v>1051</v>
      </c>
      <c r="F154" s="2408">
        <v>50</v>
      </c>
      <c r="G154" s="1932" t="s">
        <v>1090</v>
      </c>
      <c r="H154" s="2408">
        <v>50</v>
      </c>
      <c r="I154" s="1932" t="s">
        <v>1091</v>
      </c>
      <c r="J154" s="2408">
        <v>50</v>
      </c>
      <c r="K154" s="1932" t="s">
        <v>1126</v>
      </c>
      <c r="L154" s="2408">
        <v>50</v>
      </c>
      <c r="M154" s="1932" t="s">
        <v>1127</v>
      </c>
      <c r="N154" s="2409">
        <v>50</v>
      </c>
      <c r="O154" s="2425">
        <v>50</v>
      </c>
      <c r="P154" s="2411">
        <v>50</v>
      </c>
      <c r="Q154" s="2426">
        <v>85</v>
      </c>
      <c r="R154" s="2427">
        <v>70</v>
      </c>
      <c r="S154" s="2428">
        <v>50</v>
      </c>
      <c r="T154" s="2429">
        <v>55</v>
      </c>
      <c r="U154" s="2430">
        <v>65</v>
      </c>
      <c r="V154" s="2431" t="s">
        <v>1007</v>
      </c>
      <c r="W154" s="2432" t="s">
        <v>1008</v>
      </c>
      <c r="X154" s="2433">
        <v>105</v>
      </c>
      <c r="Y154" s="2434">
        <v>90</v>
      </c>
      <c r="Z154" s="2443">
        <v>65</v>
      </c>
      <c r="AA154" s="2444">
        <v>70</v>
      </c>
      <c r="AB154" s="2445">
        <v>80</v>
      </c>
      <c r="AC154" s="2438" t="s">
        <v>1869</v>
      </c>
      <c r="AD154" s="2439" t="s">
        <v>1008</v>
      </c>
      <c r="AE154" s="760"/>
      <c r="AF154" s="1108"/>
      <c r="AG154" s="1108"/>
      <c r="AH154" s="1108"/>
      <c r="AI154" s="760"/>
      <c r="AJ154" s="760"/>
      <c r="AK154"/>
      <c r="AL154"/>
      <c r="AM154"/>
      <c r="AN154"/>
      <c r="BO154" s="760"/>
    </row>
    <row r="155" spans="1:67" ht="21" customHeight="1">
      <c r="A155" s="760"/>
      <c r="B155" s="485"/>
      <c r="C155" s="2405" t="s">
        <v>1129</v>
      </c>
      <c r="D155" s="2406"/>
      <c r="E155" s="2424" t="s">
        <v>1088</v>
      </c>
      <c r="F155" s="2408">
        <v>130</v>
      </c>
      <c r="G155" s="1932" t="s">
        <v>1089</v>
      </c>
      <c r="H155" s="2408">
        <v>130</v>
      </c>
      <c r="I155" s="1932" t="s">
        <v>1090</v>
      </c>
      <c r="J155" s="2408">
        <v>130</v>
      </c>
      <c r="K155" s="1932" t="s">
        <v>1091</v>
      </c>
      <c r="L155" s="2408">
        <v>130</v>
      </c>
      <c r="M155" s="1932" t="s">
        <v>1092</v>
      </c>
      <c r="N155" s="2409">
        <v>130</v>
      </c>
      <c r="O155" s="2425">
        <v>130</v>
      </c>
      <c r="P155" s="2411">
        <v>130</v>
      </c>
      <c r="Q155" s="2426">
        <v>85</v>
      </c>
      <c r="R155" s="2427">
        <v>70</v>
      </c>
      <c r="S155" s="2428">
        <v>50</v>
      </c>
      <c r="T155" s="2429">
        <v>55</v>
      </c>
      <c r="U155" s="2430">
        <v>65</v>
      </c>
      <c r="V155" s="2431" t="s">
        <v>1007</v>
      </c>
      <c r="W155" s="2432" t="s">
        <v>1008</v>
      </c>
      <c r="X155" s="2433">
        <v>300</v>
      </c>
      <c r="Y155" s="2434">
        <v>250</v>
      </c>
      <c r="Z155" s="2443">
        <v>180</v>
      </c>
      <c r="AA155" s="2444">
        <v>200</v>
      </c>
      <c r="AB155" s="2445">
        <v>230</v>
      </c>
      <c r="AC155" s="2438" t="s">
        <v>1869</v>
      </c>
      <c r="AD155" s="2439" t="s">
        <v>1008</v>
      </c>
      <c r="AE155" s="760"/>
      <c r="AF155" s="1108"/>
      <c r="AG155" s="1108"/>
      <c r="AH155" s="1108"/>
      <c r="AI155" s="760"/>
      <c r="AJ155" s="760"/>
      <c r="AK155"/>
      <c r="AL155"/>
      <c r="AM155"/>
      <c r="AN155"/>
      <c r="BO155" s="760"/>
    </row>
    <row r="156" spans="1:67" ht="21" customHeight="1">
      <c r="A156" s="760"/>
      <c r="B156" s="485"/>
      <c r="C156" s="2405" t="s">
        <v>1130</v>
      </c>
      <c r="D156" s="2406"/>
      <c r="E156" s="2424" t="s">
        <v>1088</v>
      </c>
      <c r="F156" s="2408">
        <v>100</v>
      </c>
      <c r="G156" s="1932" t="s">
        <v>1089</v>
      </c>
      <c r="H156" s="2408">
        <v>100</v>
      </c>
      <c r="I156" s="1932" t="s">
        <v>1090</v>
      </c>
      <c r="J156" s="2408">
        <v>100</v>
      </c>
      <c r="K156" s="1932" t="s">
        <v>1091</v>
      </c>
      <c r="L156" s="2408">
        <v>100</v>
      </c>
      <c r="M156" s="1932" t="s">
        <v>1092</v>
      </c>
      <c r="N156" s="2409">
        <v>100</v>
      </c>
      <c r="O156" s="2425">
        <v>100</v>
      </c>
      <c r="P156" s="2411">
        <v>100</v>
      </c>
      <c r="Q156" s="2447">
        <v>85</v>
      </c>
      <c r="R156" s="2448">
        <v>70</v>
      </c>
      <c r="S156" s="2428">
        <v>50</v>
      </c>
      <c r="T156" s="2429">
        <v>55</v>
      </c>
      <c r="U156" s="2430">
        <v>65</v>
      </c>
      <c r="V156" s="2431" t="s">
        <v>1007</v>
      </c>
      <c r="W156" s="2432" t="s">
        <v>1008</v>
      </c>
      <c r="X156" s="2433">
        <v>70</v>
      </c>
      <c r="Y156" s="2434">
        <v>55</v>
      </c>
      <c r="Z156" s="2443">
        <v>40</v>
      </c>
      <c r="AA156" s="2444">
        <v>45</v>
      </c>
      <c r="AB156" s="2445">
        <v>50</v>
      </c>
      <c r="AC156" s="2438" t="s">
        <v>1869</v>
      </c>
      <c r="AD156" s="2439" t="s">
        <v>1008</v>
      </c>
      <c r="AE156" s="760"/>
      <c r="AF156" s="1108"/>
      <c r="AG156" s="1108"/>
      <c r="AH156" s="1108"/>
      <c r="AI156" s="760"/>
      <c r="AJ156" s="760"/>
      <c r="AK156"/>
      <c r="AL156"/>
      <c r="AM156"/>
      <c r="AN156"/>
      <c r="BO156" s="760"/>
    </row>
    <row r="157" spans="1:67" ht="21" customHeight="1">
      <c r="A157" s="760"/>
      <c r="B157" s="485"/>
      <c r="C157" s="2405" t="s">
        <v>1131</v>
      </c>
      <c r="D157" s="2406"/>
      <c r="E157" s="2424" t="s">
        <v>1044</v>
      </c>
      <c r="F157" s="2408">
        <v>60</v>
      </c>
      <c r="G157" s="1932" t="s">
        <v>1045</v>
      </c>
      <c r="H157" s="2408">
        <v>60</v>
      </c>
      <c r="I157" s="1932" t="s">
        <v>1046</v>
      </c>
      <c r="J157" s="2408">
        <v>60</v>
      </c>
      <c r="K157" s="1932" t="s">
        <v>1047</v>
      </c>
      <c r="L157" s="2408">
        <v>60</v>
      </c>
      <c r="M157" s="1932" t="s">
        <v>1048</v>
      </c>
      <c r="N157" s="2409">
        <v>60</v>
      </c>
      <c r="O157" s="2742" t="s">
        <v>1819</v>
      </c>
      <c r="P157" s="2149" t="s">
        <v>1819</v>
      </c>
      <c r="Q157" s="2426">
        <v>100</v>
      </c>
      <c r="R157" s="2427">
        <v>80</v>
      </c>
      <c r="S157" s="2428">
        <v>60</v>
      </c>
      <c r="T157" s="2429">
        <v>65</v>
      </c>
      <c r="U157" s="2430">
        <v>75</v>
      </c>
      <c r="V157" s="2431" t="s">
        <v>1007</v>
      </c>
      <c r="W157" s="2432" t="s">
        <v>1008</v>
      </c>
      <c r="X157" s="2433">
        <v>150</v>
      </c>
      <c r="Y157" s="2434">
        <v>125</v>
      </c>
      <c r="Z157" s="2443">
        <v>90</v>
      </c>
      <c r="AA157" s="2444">
        <v>100</v>
      </c>
      <c r="AB157" s="2445">
        <v>115</v>
      </c>
      <c r="AC157" s="2438" t="s">
        <v>1869</v>
      </c>
      <c r="AD157" s="2439" t="s">
        <v>1008</v>
      </c>
      <c r="AE157" s="760"/>
      <c r="AF157" s="1108"/>
      <c r="AG157" s="1108"/>
      <c r="AH157" s="1108"/>
      <c r="AI157" s="760"/>
      <c r="AJ157" s="760"/>
      <c r="AK157"/>
      <c r="AL157"/>
      <c r="AM157"/>
      <c r="AN157"/>
      <c r="BO157" s="760"/>
    </row>
    <row r="158" spans="1:67" ht="21" customHeight="1">
      <c r="A158" s="760"/>
      <c r="B158" s="485"/>
      <c r="C158" s="2405" t="s">
        <v>1942</v>
      </c>
      <c r="D158" s="2406"/>
      <c r="E158" s="2424"/>
      <c r="F158" s="2408">
        <v>80</v>
      </c>
      <c r="G158" s="1932"/>
      <c r="H158" s="2408">
        <v>80</v>
      </c>
      <c r="I158" s="1932"/>
      <c r="J158" s="2408">
        <v>80</v>
      </c>
      <c r="K158" s="1932"/>
      <c r="L158" s="2408">
        <v>80</v>
      </c>
      <c r="M158" s="1932"/>
      <c r="N158" s="2409">
        <v>80</v>
      </c>
      <c r="O158" s="2425">
        <v>50</v>
      </c>
      <c r="P158" s="2411">
        <v>50</v>
      </c>
      <c r="Q158" s="2426">
        <v>85</v>
      </c>
      <c r="R158" s="2427">
        <v>70</v>
      </c>
      <c r="S158" s="2428">
        <v>50</v>
      </c>
      <c r="T158" s="2429">
        <v>55</v>
      </c>
      <c r="U158" s="2430">
        <v>65</v>
      </c>
      <c r="V158" s="2431" t="s">
        <v>1007</v>
      </c>
      <c r="W158" s="2432" t="s">
        <v>1008</v>
      </c>
      <c r="X158" s="2490" t="s">
        <v>1086</v>
      </c>
      <c r="Y158" s="2434"/>
      <c r="Z158" s="2443"/>
      <c r="AA158" s="2444"/>
      <c r="AB158" s="2445"/>
      <c r="AC158" s="2438"/>
      <c r="AD158" s="2439"/>
      <c r="AE158" s="760"/>
      <c r="AF158" s="1108"/>
      <c r="AG158" s="1108"/>
      <c r="AH158" s="1108"/>
      <c r="AI158" s="760"/>
      <c r="AJ158" s="760"/>
      <c r="AK158"/>
      <c r="AL158"/>
      <c r="AM158"/>
      <c r="AN158"/>
      <c r="BO158" s="760"/>
    </row>
    <row r="159" spans="1:67" ht="21" customHeight="1">
      <c r="A159" s="760"/>
      <c r="B159" s="485"/>
      <c r="C159" s="2405" t="s">
        <v>1943</v>
      </c>
      <c r="D159" s="2406"/>
      <c r="E159" s="2424" t="s">
        <v>1009</v>
      </c>
      <c r="F159" s="2408">
        <v>170</v>
      </c>
      <c r="G159" s="1932" t="s">
        <v>1054</v>
      </c>
      <c r="H159" s="2408">
        <v>190</v>
      </c>
      <c r="I159" s="1932" t="s">
        <v>1944</v>
      </c>
      <c r="J159" s="2408">
        <v>210</v>
      </c>
      <c r="K159" s="1932" t="s">
        <v>1945</v>
      </c>
      <c r="L159" s="2408">
        <v>210</v>
      </c>
      <c r="M159" s="1932" t="s">
        <v>1055</v>
      </c>
      <c r="N159" s="2409">
        <v>210</v>
      </c>
      <c r="O159" s="2425">
        <v>110</v>
      </c>
      <c r="P159" s="2411">
        <v>130</v>
      </c>
      <c r="Q159" s="2426">
        <v>160</v>
      </c>
      <c r="R159" s="2427">
        <v>135</v>
      </c>
      <c r="S159" s="2428">
        <v>95</v>
      </c>
      <c r="T159" s="2429">
        <v>110</v>
      </c>
      <c r="U159" s="2430">
        <v>125</v>
      </c>
      <c r="V159" s="2431">
        <v>55</v>
      </c>
      <c r="W159" s="2432" t="s">
        <v>1008</v>
      </c>
      <c r="X159" s="2433">
        <v>480</v>
      </c>
      <c r="Y159" s="2434">
        <v>400</v>
      </c>
      <c r="Z159" s="2443">
        <v>290</v>
      </c>
      <c r="AA159" s="2444">
        <v>320</v>
      </c>
      <c r="AB159" s="2445">
        <v>370</v>
      </c>
      <c r="AC159" s="2438">
        <v>160</v>
      </c>
      <c r="AD159" s="2439" t="s">
        <v>1008</v>
      </c>
      <c r="AE159" s="760"/>
      <c r="AF159" s="1108"/>
      <c r="AG159" s="1108"/>
      <c r="AH159" s="1108"/>
      <c r="AI159" s="760"/>
      <c r="AJ159" s="760"/>
      <c r="AK159"/>
      <c r="AL159"/>
      <c r="AM159"/>
      <c r="AN159"/>
      <c r="BO159" s="760"/>
    </row>
    <row r="160" spans="1:67" ht="21" customHeight="1">
      <c r="A160" s="760"/>
      <c r="B160" s="485"/>
      <c r="C160" s="2405" t="s">
        <v>1132</v>
      </c>
      <c r="D160" s="2406"/>
      <c r="E160" s="2424" t="s">
        <v>226</v>
      </c>
      <c r="F160" s="2408">
        <v>100</v>
      </c>
      <c r="G160" s="1932" t="s">
        <v>226</v>
      </c>
      <c r="H160" s="2408">
        <v>100</v>
      </c>
      <c r="I160" s="1932" t="s">
        <v>226</v>
      </c>
      <c r="J160" s="2408">
        <v>100</v>
      </c>
      <c r="K160" s="1932" t="s">
        <v>226</v>
      </c>
      <c r="L160" s="2408">
        <v>100</v>
      </c>
      <c r="M160" s="1932"/>
      <c r="N160" s="2409">
        <v>100</v>
      </c>
      <c r="O160" s="2425">
        <v>100</v>
      </c>
      <c r="P160" s="2411">
        <v>100</v>
      </c>
      <c r="Q160" s="2426">
        <v>90</v>
      </c>
      <c r="R160" s="2427">
        <v>75</v>
      </c>
      <c r="S160" s="2428">
        <v>60</v>
      </c>
      <c r="T160" s="2429">
        <v>60</v>
      </c>
      <c r="U160" s="2430">
        <v>60</v>
      </c>
      <c r="V160" s="2431" t="s">
        <v>1007</v>
      </c>
      <c r="W160" s="2432" t="s">
        <v>1008</v>
      </c>
      <c r="X160" s="2433">
        <v>105</v>
      </c>
      <c r="Y160" s="2434">
        <v>90</v>
      </c>
      <c r="Z160" s="2443">
        <v>65</v>
      </c>
      <c r="AA160" s="2444">
        <v>70</v>
      </c>
      <c r="AB160" s="2445">
        <v>80</v>
      </c>
      <c r="AC160" s="2438" t="s">
        <v>1869</v>
      </c>
      <c r="AD160" s="2439" t="s">
        <v>1008</v>
      </c>
      <c r="AE160" s="760"/>
      <c r="AF160" s="1108"/>
      <c r="AG160" s="1108"/>
      <c r="AH160" s="1108"/>
      <c r="AI160" s="760"/>
      <c r="AJ160" s="760"/>
      <c r="AK160"/>
      <c r="AL160"/>
      <c r="AM160"/>
      <c r="AN160"/>
      <c r="BO160" s="760"/>
    </row>
    <row r="161" spans="1:67" ht="21" customHeight="1">
      <c r="A161" s="760"/>
      <c r="B161" s="485"/>
      <c r="C161" s="2405" t="s">
        <v>1133</v>
      </c>
      <c r="D161" s="2406"/>
      <c r="E161" s="2449" t="s">
        <v>1086</v>
      </c>
      <c r="F161" s="2450"/>
      <c r="G161" s="2450"/>
      <c r="H161" s="2450"/>
      <c r="I161" s="2450"/>
      <c r="J161" s="2450"/>
      <c r="K161" s="2450"/>
      <c r="L161" s="2450"/>
      <c r="M161" s="2450"/>
      <c r="N161" s="2450"/>
      <c r="O161" s="2425">
        <v>90</v>
      </c>
      <c r="P161" s="2411">
        <v>100</v>
      </c>
      <c r="Q161" s="2426">
        <v>85</v>
      </c>
      <c r="R161" s="2427">
        <v>70</v>
      </c>
      <c r="S161" s="2428">
        <v>50</v>
      </c>
      <c r="T161" s="2429">
        <v>55</v>
      </c>
      <c r="U161" s="2430">
        <v>65</v>
      </c>
      <c r="V161" s="2431" t="s">
        <v>1007</v>
      </c>
      <c r="W161" s="2432" t="s">
        <v>1008</v>
      </c>
      <c r="X161" s="2433">
        <v>120</v>
      </c>
      <c r="Y161" s="2434">
        <v>100</v>
      </c>
      <c r="Z161" s="2443">
        <v>70</v>
      </c>
      <c r="AA161" s="2444">
        <v>80</v>
      </c>
      <c r="AB161" s="2445">
        <v>90</v>
      </c>
      <c r="AC161" s="2438" t="s">
        <v>1869</v>
      </c>
      <c r="AD161" s="2439" t="s">
        <v>1008</v>
      </c>
      <c r="AE161" s="760"/>
      <c r="AF161" s="1108"/>
      <c r="AG161" s="1108"/>
      <c r="AH161" s="1108"/>
      <c r="AI161" s="760"/>
      <c r="AJ161" s="760"/>
      <c r="AK161"/>
      <c r="AL161"/>
      <c r="AM161"/>
      <c r="AN161"/>
      <c r="BO161" s="760"/>
    </row>
    <row r="162" spans="1:67" ht="21" customHeight="1">
      <c r="A162" s="760"/>
      <c r="B162" s="485"/>
      <c r="C162" s="2405" t="s">
        <v>1134</v>
      </c>
      <c r="D162" s="2406"/>
      <c r="E162" s="2424" t="s">
        <v>1023</v>
      </c>
      <c r="F162" s="2408">
        <v>128</v>
      </c>
      <c r="G162" s="1932" t="s">
        <v>1024</v>
      </c>
      <c r="H162" s="2408">
        <v>176</v>
      </c>
      <c r="I162" s="1932" t="s">
        <v>1025</v>
      </c>
      <c r="J162" s="2408">
        <v>208</v>
      </c>
      <c r="K162" s="1932" t="s">
        <v>1135</v>
      </c>
      <c r="L162" s="2408">
        <v>224</v>
      </c>
      <c r="M162" s="1932" t="s">
        <v>1067</v>
      </c>
      <c r="N162" s="2409">
        <v>240</v>
      </c>
      <c r="O162" s="2425">
        <v>160</v>
      </c>
      <c r="P162" s="2411">
        <v>180</v>
      </c>
      <c r="Q162" s="2426">
        <v>135</v>
      </c>
      <c r="R162" s="2427">
        <v>115</v>
      </c>
      <c r="S162" s="2428">
        <v>70</v>
      </c>
      <c r="T162" s="2429">
        <v>90</v>
      </c>
      <c r="U162" s="2430">
        <v>100</v>
      </c>
      <c r="V162" s="2431" t="s">
        <v>1007</v>
      </c>
      <c r="W162" s="2432" t="s">
        <v>1008</v>
      </c>
      <c r="X162" s="2433">
        <v>340</v>
      </c>
      <c r="Y162" s="2434">
        <v>280</v>
      </c>
      <c r="Z162" s="2443">
        <v>200</v>
      </c>
      <c r="AA162" s="2444">
        <v>225</v>
      </c>
      <c r="AB162" s="2445">
        <v>260</v>
      </c>
      <c r="AC162" s="2438" t="s">
        <v>1869</v>
      </c>
      <c r="AD162" s="2439" t="s">
        <v>1008</v>
      </c>
      <c r="AE162" s="760"/>
      <c r="AF162" s="1108"/>
      <c r="AG162" s="1108"/>
      <c r="AH162" s="1108"/>
      <c r="AI162" s="760"/>
      <c r="AJ162" s="760"/>
      <c r="AK162"/>
      <c r="AL162"/>
      <c r="AM162"/>
      <c r="AN162"/>
      <c r="BO162" s="760"/>
    </row>
    <row r="163" spans="1:67" ht="21" customHeight="1">
      <c r="A163" s="760"/>
      <c r="B163" s="485"/>
      <c r="C163" s="2405" t="s">
        <v>1136</v>
      </c>
      <c r="D163" s="2406"/>
      <c r="E163" s="2424" t="s">
        <v>1002</v>
      </c>
      <c r="F163" s="2408">
        <v>100</v>
      </c>
      <c r="G163" s="1932" t="s">
        <v>1003</v>
      </c>
      <c r="H163" s="2408">
        <v>100</v>
      </c>
      <c r="I163" s="1932" t="s">
        <v>1004</v>
      </c>
      <c r="J163" s="2408">
        <v>100</v>
      </c>
      <c r="K163" s="1932" t="s">
        <v>1005</v>
      </c>
      <c r="L163" s="2408">
        <v>100</v>
      </c>
      <c r="M163" s="1932" t="s">
        <v>1006</v>
      </c>
      <c r="N163" s="2409">
        <v>100</v>
      </c>
      <c r="O163" s="2451">
        <v>100</v>
      </c>
      <c r="P163" s="2452">
        <v>100</v>
      </c>
      <c r="Q163" s="2453">
        <v>85</v>
      </c>
      <c r="R163" s="2454">
        <v>70</v>
      </c>
      <c r="S163" s="2455">
        <v>50</v>
      </c>
      <c r="T163" s="2456">
        <v>55</v>
      </c>
      <c r="U163" s="2457">
        <v>65</v>
      </c>
      <c r="V163" s="2458" t="s">
        <v>1007</v>
      </c>
      <c r="W163" s="2459" t="s">
        <v>1008</v>
      </c>
      <c r="X163" s="2460">
        <v>375</v>
      </c>
      <c r="Y163" s="2461">
        <v>315</v>
      </c>
      <c r="Z163" s="2462">
        <v>225</v>
      </c>
      <c r="AA163" s="2463">
        <v>250</v>
      </c>
      <c r="AB163" s="2464">
        <v>290</v>
      </c>
      <c r="AC163" s="2465" t="s">
        <v>1869</v>
      </c>
      <c r="AD163" s="2466" t="s">
        <v>1008</v>
      </c>
      <c r="AE163" s="760"/>
      <c r="AF163" s="1108"/>
      <c r="AG163" s="1108"/>
      <c r="AH163" s="1108"/>
      <c r="AI163" s="760"/>
      <c r="AJ163" s="760"/>
      <c r="AK163"/>
      <c r="AL163"/>
      <c r="AM163"/>
      <c r="AN163"/>
      <c r="BO163" s="760"/>
    </row>
    <row r="164" spans="1:67" ht="21" customHeight="1">
      <c r="A164" s="760"/>
      <c r="B164" s="485"/>
      <c r="C164" s="2405" t="s">
        <v>1137</v>
      </c>
      <c r="D164" s="2406"/>
      <c r="E164" s="2467" t="s">
        <v>1138</v>
      </c>
      <c r="F164" s="2468"/>
      <c r="G164" s="2468"/>
      <c r="H164" s="2468"/>
      <c r="I164" s="2468"/>
      <c r="J164" s="2468"/>
      <c r="K164" s="2468"/>
      <c r="L164" s="2468"/>
      <c r="M164" s="2468"/>
      <c r="N164" s="2468"/>
      <c r="O164" s="2451">
        <v>0</v>
      </c>
      <c r="P164" s="2452">
        <v>0</v>
      </c>
      <c r="Q164" s="2453">
        <v>90</v>
      </c>
      <c r="R164" s="2454">
        <v>75</v>
      </c>
      <c r="S164" s="2455">
        <v>55</v>
      </c>
      <c r="T164" s="2456">
        <v>60</v>
      </c>
      <c r="U164" s="2457">
        <v>70</v>
      </c>
      <c r="V164" s="2458" t="s">
        <v>1007</v>
      </c>
      <c r="W164" s="2459" t="s">
        <v>1008</v>
      </c>
      <c r="X164" s="2460">
        <v>135</v>
      </c>
      <c r="Y164" s="2461">
        <v>115</v>
      </c>
      <c r="Z164" s="2462">
        <v>80</v>
      </c>
      <c r="AA164" s="2463">
        <v>90</v>
      </c>
      <c r="AB164" s="2464">
        <v>105</v>
      </c>
      <c r="AC164" s="2465" t="s">
        <v>1869</v>
      </c>
      <c r="AD164" s="2466" t="s">
        <v>1008</v>
      </c>
      <c r="AE164" s="760"/>
      <c r="AF164" s="1108"/>
      <c r="AG164" s="1108"/>
      <c r="AH164" s="1108"/>
      <c r="AI164" s="760"/>
      <c r="AJ164" s="760"/>
      <c r="AK164"/>
      <c r="AL164"/>
      <c r="AM164"/>
      <c r="AN164"/>
      <c r="BO164" s="760"/>
    </row>
    <row r="165" spans="1:67" ht="21" customHeight="1">
      <c r="A165" s="760"/>
      <c r="B165" s="485"/>
      <c r="C165" s="2405" t="s">
        <v>1139</v>
      </c>
      <c r="D165" s="2406"/>
      <c r="E165" s="2424" t="s">
        <v>1102</v>
      </c>
      <c r="F165" s="2408">
        <v>80</v>
      </c>
      <c r="G165" s="1932" t="s">
        <v>1946</v>
      </c>
      <c r="H165" s="2408">
        <v>110</v>
      </c>
      <c r="I165" s="1932" t="s">
        <v>1947</v>
      </c>
      <c r="J165" s="2408">
        <v>130</v>
      </c>
      <c r="K165" s="1932" t="s">
        <v>1105</v>
      </c>
      <c r="L165" s="2408">
        <v>140</v>
      </c>
      <c r="M165" s="1932" t="s">
        <v>1106</v>
      </c>
      <c r="N165" s="2409">
        <v>150</v>
      </c>
      <c r="O165" s="2451">
        <v>90</v>
      </c>
      <c r="P165" s="2452">
        <v>100</v>
      </c>
      <c r="Q165" s="2453">
        <v>85</v>
      </c>
      <c r="R165" s="2454">
        <v>70</v>
      </c>
      <c r="S165" s="2455">
        <v>50</v>
      </c>
      <c r="T165" s="2456">
        <v>55</v>
      </c>
      <c r="U165" s="2457">
        <v>65</v>
      </c>
      <c r="V165" s="2458" t="s">
        <v>1007</v>
      </c>
      <c r="W165" s="2459" t="s">
        <v>1008</v>
      </c>
      <c r="X165" s="2460">
        <v>120</v>
      </c>
      <c r="Y165" s="2461">
        <v>100</v>
      </c>
      <c r="Z165" s="2462">
        <v>70</v>
      </c>
      <c r="AA165" s="2463">
        <v>80</v>
      </c>
      <c r="AB165" s="2464">
        <v>90</v>
      </c>
      <c r="AC165" s="2465" t="s">
        <v>1869</v>
      </c>
      <c r="AD165" s="2466" t="s">
        <v>1008</v>
      </c>
      <c r="AE165" s="760"/>
      <c r="AF165" s="1108"/>
      <c r="AG165" s="1108"/>
      <c r="AH165" s="1108"/>
      <c r="AI165" s="760"/>
      <c r="AJ165" s="760"/>
      <c r="AK165"/>
      <c r="AL165"/>
      <c r="AM165"/>
      <c r="AN165"/>
      <c r="BO165" s="760"/>
    </row>
    <row r="166" spans="1:67" ht="21" customHeight="1" thickBot="1">
      <c r="A166" s="760"/>
      <c r="B166" s="485"/>
      <c r="C166" s="2469" t="s">
        <v>1825</v>
      </c>
      <c r="D166" s="2470"/>
      <c r="E166" s="2471" t="s">
        <v>1056</v>
      </c>
      <c r="F166" s="2472">
        <v>40</v>
      </c>
      <c r="G166" s="1933" t="s">
        <v>1057</v>
      </c>
      <c r="H166" s="2472">
        <v>60</v>
      </c>
      <c r="I166" s="1933" t="s">
        <v>1058</v>
      </c>
      <c r="J166" s="2472">
        <v>60</v>
      </c>
      <c r="K166" s="1933" t="s">
        <v>1059</v>
      </c>
      <c r="L166" s="2472">
        <v>60</v>
      </c>
      <c r="M166" s="1933" t="s">
        <v>1060</v>
      </c>
      <c r="N166" s="2473">
        <v>60</v>
      </c>
      <c r="O166" s="2474" t="s">
        <v>1819</v>
      </c>
      <c r="P166" s="2475" t="s">
        <v>1819</v>
      </c>
      <c r="Q166" s="2476">
        <v>100</v>
      </c>
      <c r="R166" s="2477">
        <v>80</v>
      </c>
      <c r="S166" s="2478">
        <v>60</v>
      </c>
      <c r="T166" s="2479">
        <v>65</v>
      </c>
      <c r="U166" s="2480">
        <v>75</v>
      </c>
      <c r="V166" s="2481" t="s">
        <v>1007</v>
      </c>
      <c r="W166" s="2482" t="s">
        <v>1008</v>
      </c>
      <c r="X166" s="2483">
        <v>150</v>
      </c>
      <c r="Y166" s="2484">
        <v>125</v>
      </c>
      <c r="Z166" s="2485">
        <v>90</v>
      </c>
      <c r="AA166" s="2486">
        <v>100</v>
      </c>
      <c r="AB166" s="2487">
        <v>115</v>
      </c>
      <c r="AC166" s="2488" t="s">
        <v>1869</v>
      </c>
      <c r="AD166" s="2489" t="s">
        <v>1008</v>
      </c>
      <c r="AE166" s="760"/>
      <c r="AF166" s="1108"/>
      <c r="AG166" s="1108"/>
      <c r="AH166" s="1108"/>
      <c r="AI166" s="760"/>
      <c r="AJ166" s="760"/>
      <c r="AK166"/>
      <c r="AL166"/>
      <c r="AM166"/>
      <c r="AN166"/>
      <c r="BO166" s="760"/>
    </row>
    <row r="167" spans="1:67" ht="18" customHeight="1" thickBot="1">
      <c r="A167" s="760"/>
      <c r="B167" s="485"/>
      <c r="C167" s="1113"/>
      <c r="D167" s="1113"/>
      <c r="E167" s="1114"/>
      <c r="F167" s="1115"/>
      <c r="G167" s="1114"/>
      <c r="H167" s="1115"/>
      <c r="I167" s="1114"/>
      <c r="J167" s="1115"/>
      <c r="K167" s="1115"/>
      <c r="L167" s="1115"/>
      <c r="M167" s="1115"/>
      <c r="N167" s="1115"/>
      <c r="O167" s="1115"/>
      <c r="P167" s="1115"/>
      <c r="Q167" s="1115"/>
      <c r="R167" s="1116"/>
      <c r="S167" s="1116"/>
      <c r="T167" s="1117"/>
      <c r="U167" s="1117"/>
      <c r="V167" s="1117"/>
      <c r="W167" s="1117"/>
      <c r="X167" s="1117"/>
      <c r="Y167" s="1118"/>
      <c r="Z167" s="1108"/>
      <c r="AA167" s="1108"/>
      <c r="AB167" s="1108"/>
      <c r="AC167" s="1108"/>
      <c r="AD167" s="1108"/>
      <c r="AE167" s="760"/>
      <c r="AF167" s="1108"/>
      <c r="AG167" s="1108"/>
      <c r="AH167" s="1108"/>
      <c r="AI167" s="760"/>
      <c r="AJ167" s="760"/>
      <c r="AK167"/>
      <c r="AL167"/>
      <c r="AM167"/>
      <c r="AN167"/>
      <c r="BO167" s="760"/>
    </row>
    <row r="168" spans="1:67" ht="21.75" customHeight="1" thickBot="1">
      <c r="A168" s="760"/>
      <c r="B168" s="485"/>
      <c r="C168" s="2200" t="s">
        <v>2041</v>
      </c>
      <c r="D168" s="2201"/>
      <c r="E168" s="2899" t="s">
        <v>1077</v>
      </c>
      <c r="F168" s="2900"/>
      <c r="G168" s="2900"/>
      <c r="H168" s="2900"/>
      <c r="I168" s="2900"/>
      <c r="J168" s="2901"/>
      <c r="K168" s="2902" t="s">
        <v>2040</v>
      </c>
      <c r="L168" s="2903"/>
      <c r="M168" s="2876" t="s">
        <v>987</v>
      </c>
      <c r="N168" s="2876"/>
      <c r="O168" s="2876"/>
      <c r="P168" s="2876"/>
      <c r="Q168" s="2876"/>
      <c r="R168" s="2876"/>
      <c r="S168" s="2877"/>
      <c r="T168" s="2878" t="s">
        <v>988</v>
      </c>
      <c r="U168" s="2879"/>
      <c r="V168" s="2879"/>
      <c r="W168" s="2879"/>
      <c r="X168" s="2879"/>
      <c r="Y168" s="2879"/>
      <c r="Z168" s="2880"/>
      <c r="AA168" s="1108"/>
      <c r="AB168" s="1108"/>
      <c r="AC168" s="1108"/>
      <c r="AD168" s="1108"/>
      <c r="AE168" s="1108"/>
      <c r="AF168" s="1108"/>
      <c r="AG168" s="1108"/>
      <c r="AH168" s="1108"/>
      <c r="AI168" s="760"/>
      <c r="AJ168" s="760"/>
      <c r="AK168"/>
      <c r="AL168"/>
      <c r="AM168"/>
      <c r="AN168"/>
      <c r="BO168" s="760"/>
    </row>
    <row r="169" spans="1:67" ht="18" customHeight="1" thickBot="1">
      <c r="A169" s="760"/>
      <c r="B169" s="485"/>
      <c r="C169" s="2203"/>
      <c r="D169" s="2204"/>
      <c r="E169" s="2193"/>
      <c r="F169" s="2194"/>
      <c r="G169" s="2194"/>
      <c r="H169" s="2194"/>
      <c r="I169" s="2194"/>
      <c r="J169" s="2195"/>
      <c r="K169" s="2904" t="s">
        <v>1709</v>
      </c>
      <c r="L169" s="2905"/>
      <c r="M169" s="2181" t="s">
        <v>990</v>
      </c>
      <c r="N169" s="2182" t="s">
        <v>991</v>
      </c>
      <c r="O169" s="2881" t="s">
        <v>992</v>
      </c>
      <c r="P169" s="2882"/>
      <c r="Q169" s="2883"/>
      <c r="R169" s="2183" t="s">
        <v>993</v>
      </c>
      <c r="S169" s="2184" t="s">
        <v>994</v>
      </c>
      <c r="T169" s="2185" t="s">
        <v>990</v>
      </c>
      <c r="U169" s="2186" t="s">
        <v>991</v>
      </c>
      <c r="V169" s="2884" t="s">
        <v>992</v>
      </c>
      <c r="W169" s="2885"/>
      <c r="X169" s="2886"/>
      <c r="Y169" s="2187" t="s">
        <v>993</v>
      </c>
      <c r="Z169" s="2188" t="s">
        <v>994</v>
      </c>
      <c r="AA169" s="1108"/>
      <c r="AB169" s="1108"/>
      <c r="AC169" s="1108"/>
      <c r="AD169" s="1108"/>
      <c r="AE169" s="1108"/>
      <c r="AF169" s="1108"/>
      <c r="AG169" s="1108"/>
      <c r="AH169" s="1108"/>
      <c r="AI169" s="760"/>
      <c r="AJ169" s="760"/>
      <c r="AK169"/>
      <c r="AL169"/>
      <c r="AM169"/>
      <c r="AN169"/>
      <c r="BO169" s="760"/>
    </row>
    <row r="170" spans="1:67" ht="21.75" customHeight="1" thickBot="1">
      <c r="A170" s="760"/>
      <c r="B170" s="485"/>
      <c r="C170" s="2205" t="s">
        <v>904</v>
      </c>
      <c r="D170" s="2206"/>
      <c r="E170" s="2895" t="s">
        <v>910</v>
      </c>
      <c r="F170" s="2896"/>
      <c r="G170" s="2897" t="s">
        <v>120</v>
      </c>
      <c r="H170" s="2896"/>
      <c r="I170" s="2897" t="s">
        <v>2006</v>
      </c>
      <c r="J170" s="2898"/>
      <c r="K170" s="2175" t="s">
        <v>120</v>
      </c>
      <c r="L170" s="2180" t="s">
        <v>983</v>
      </c>
      <c r="M170" s="2615"/>
      <c r="N170" s="2616"/>
      <c r="O170" s="2617" t="s">
        <v>910</v>
      </c>
      <c r="P170" s="2618" t="s">
        <v>120</v>
      </c>
      <c r="Q170" s="2619" t="s">
        <v>983</v>
      </c>
      <c r="R170" s="2620"/>
      <c r="S170" s="2621"/>
      <c r="T170" s="2202"/>
      <c r="U170" s="2190"/>
      <c r="V170" s="1945" t="s">
        <v>910</v>
      </c>
      <c r="W170" s="1946" t="s">
        <v>120</v>
      </c>
      <c r="X170" s="1947" t="s">
        <v>983</v>
      </c>
      <c r="Y170" s="2191"/>
      <c r="Z170" s="2192"/>
      <c r="AA170" s="1108"/>
      <c r="AB170" s="1108"/>
      <c r="AC170" s="1108"/>
      <c r="AD170" s="1108"/>
      <c r="AE170" s="1108"/>
      <c r="AF170" s="1108"/>
      <c r="AG170" s="1108"/>
      <c r="AH170" s="1108"/>
      <c r="AI170" s="760"/>
      <c r="AJ170" s="760"/>
      <c r="AK170"/>
      <c r="AL170"/>
      <c r="AM170"/>
      <c r="AN170"/>
      <c r="BO170" s="760"/>
    </row>
    <row r="171" spans="1:67" ht="21.75" customHeight="1" thickBot="1">
      <c r="A171" s="760"/>
      <c r="B171" s="485"/>
      <c r="C171" s="2199" t="s">
        <v>2043</v>
      </c>
      <c r="D171" s="2196"/>
      <c r="E171" s="2176" t="s">
        <v>998</v>
      </c>
      <c r="F171" s="2177" t="s">
        <v>999</v>
      </c>
      <c r="G171" s="2178" t="s">
        <v>998</v>
      </c>
      <c r="H171" s="2177" t="s">
        <v>999</v>
      </c>
      <c r="I171" s="2178" t="s">
        <v>998</v>
      </c>
      <c r="J171" s="2179" t="s">
        <v>999</v>
      </c>
      <c r="K171" s="2174" t="s">
        <v>999</v>
      </c>
      <c r="L171" s="2174"/>
      <c r="M171" s="2887" t="s">
        <v>1000</v>
      </c>
      <c r="N171" s="2888"/>
      <c r="O171" s="2889" t="s">
        <v>1000</v>
      </c>
      <c r="P171" s="2890"/>
      <c r="Q171" s="2891"/>
      <c r="R171" s="2077"/>
      <c r="S171" s="2078"/>
      <c r="T171" s="2892" t="s">
        <v>1001</v>
      </c>
      <c r="U171" s="2893"/>
      <c r="V171" s="2892" t="s">
        <v>1001</v>
      </c>
      <c r="W171" s="2894"/>
      <c r="X171" s="2893"/>
      <c r="Y171" s="2189"/>
      <c r="Z171" s="1107"/>
      <c r="AA171" s="1108"/>
      <c r="AB171" s="1108"/>
      <c r="AC171" s="1108"/>
      <c r="AD171" s="1108"/>
      <c r="AE171" s="1108"/>
      <c r="AF171" s="1108"/>
      <c r="AG171" s="1108"/>
      <c r="AH171" s="1108"/>
      <c r="AI171" s="760"/>
      <c r="AJ171" s="760"/>
      <c r="AK171"/>
      <c r="AL171"/>
      <c r="AM171"/>
      <c r="AN171"/>
      <c r="BO171" s="760"/>
    </row>
    <row r="172" spans="1:67" s="2393" customFormat="1" ht="21" customHeight="1">
      <c r="A172" s="2392"/>
      <c r="C172" s="2234" t="s">
        <v>1140</v>
      </c>
      <c r="D172" s="2402"/>
      <c r="E172" s="2399" t="s">
        <v>1141</v>
      </c>
      <c r="F172" s="1841">
        <v>110</v>
      </c>
      <c r="G172" s="2281" t="s">
        <v>1142</v>
      </c>
      <c r="H172" s="1841">
        <v>130</v>
      </c>
      <c r="I172" s="2281" t="s">
        <v>1070</v>
      </c>
      <c r="J172" s="1841">
        <v>155</v>
      </c>
      <c r="K172" s="2282">
        <v>90</v>
      </c>
      <c r="L172" s="2283">
        <v>113</v>
      </c>
      <c r="M172" s="2622">
        <v>60</v>
      </c>
      <c r="N172" s="2623">
        <v>50</v>
      </c>
      <c r="O172" s="2624">
        <v>30</v>
      </c>
      <c r="P172" s="2624">
        <v>40</v>
      </c>
      <c r="Q172" s="2624">
        <v>50</v>
      </c>
      <c r="R172" s="2624">
        <v>20</v>
      </c>
      <c r="S172" s="2625" t="s">
        <v>226</v>
      </c>
      <c r="T172" s="2376">
        <v>210</v>
      </c>
      <c r="U172" s="2377">
        <v>175</v>
      </c>
      <c r="V172" s="2378">
        <v>110</v>
      </c>
      <c r="W172" s="2379">
        <v>140</v>
      </c>
      <c r="X172" s="2378">
        <v>175</v>
      </c>
      <c r="Y172" s="2380">
        <v>70</v>
      </c>
      <c r="Z172" s="2381" t="s">
        <v>226</v>
      </c>
      <c r="AA172" s="2394"/>
      <c r="AB172" s="2394"/>
      <c r="AC172" s="2394"/>
      <c r="AD172" s="2394"/>
      <c r="AE172" s="2394"/>
      <c r="AF172" s="2394"/>
      <c r="AG172" s="2394"/>
      <c r="AH172" s="2394"/>
      <c r="AI172" s="2392"/>
      <c r="AJ172" s="2392"/>
      <c r="AK172" s="2395" t="s">
        <v>1930</v>
      </c>
      <c r="AL172" s="2395"/>
      <c r="AM172" s="2395"/>
      <c r="AN172" s="2395"/>
      <c r="BO172" s="2392"/>
    </row>
    <row r="173" spans="1:67" s="2393" customFormat="1" ht="21" customHeight="1">
      <c r="A173" s="2392"/>
      <c r="C173" s="2248" t="s">
        <v>1143</v>
      </c>
      <c r="D173" s="2403"/>
      <c r="E173" s="2400" t="s">
        <v>1068</v>
      </c>
      <c r="F173" s="1842">
        <v>200</v>
      </c>
      <c r="G173" s="1843" t="s">
        <v>1069</v>
      </c>
      <c r="H173" s="1842">
        <v>240</v>
      </c>
      <c r="I173" s="1843" t="s">
        <v>1070</v>
      </c>
      <c r="J173" s="1842">
        <v>290</v>
      </c>
      <c r="K173" s="2290">
        <v>200</v>
      </c>
      <c r="L173" s="2291">
        <v>250</v>
      </c>
      <c r="M173" s="2626">
        <v>60</v>
      </c>
      <c r="N173" s="2627">
        <v>50</v>
      </c>
      <c r="O173" s="2628">
        <v>30</v>
      </c>
      <c r="P173" s="2628">
        <v>40</v>
      </c>
      <c r="Q173" s="2628">
        <v>50</v>
      </c>
      <c r="R173" s="2628">
        <v>20</v>
      </c>
      <c r="S173" s="2629" t="s">
        <v>226</v>
      </c>
      <c r="T173" s="2382">
        <v>165</v>
      </c>
      <c r="U173" s="2383">
        <v>140</v>
      </c>
      <c r="V173" s="2378">
        <v>90</v>
      </c>
      <c r="W173" s="2379">
        <v>110</v>
      </c>
      <c r="X173" s="2378">
        <v>140</v>
      </c>
      <c r="Y173" s="2259">
        <v>55</v>
      </c>
      <c r="Z173" s="2384" t="s">
        <v>226</v>
      </c>
      <c r="AA173" s="2394"/>
      <c r="AB173" s="2394"/>
      <c r="AC173" s="2394"/>
      <c r="AD173" s="2394"/>
      <c r="AE173" s="2394"/>
      <c r="AF173" s="2394"/>
      <c r="AG173" s="2394"/>
      <c r="AH173" s="2394"/>
      <c r="AI173" s="2392"/>
      <c r="AJ173" s="2392"/>
      <c r="AK173" s="2395"/>
      <c r="AL173" s="2395"/>
      <c r="AM173" s="2395"/>
      <c r="AN173" s="2395"/>
      <c r="BO173" s="2392"/>
    </row>
    <row r="174" spans="1:67" s="2393" customFormat="1" ht="21" customHeight="1">
      <c r="A174" s="2392"/>
      <c r="C174" s="2248" t="s">
        <v>1144</v>
      </c>
      <c r="D174" s="2403"/>
      <c r="E174" s="2400" t="s">
        <v>1145</v>
      </c>
      <c r="F174" s="1842">
        <v>95</v>
      </c>
      <c r="G174" s="1843" t="s">
        <v>1146</v>
      </c>
      <c r="H174" s="1842">
        <v>110</v>
      </c>
      <c r="I174" s="1843" t="s">
        <v>1147</v>
      </c>
      <c r="J174" s="1842">
        <v>130</v>
      </c>
      <c r="K174" s="2290">
        <v>70</v>
      </c>
      <c r="L174" s="2291">
        <v>88</v>
      </c>
      <c r="M174" s="2626">
        <v>30</v>
      </c>
      <c r="N174" s="2627">
        <v>25</v>
      </c>
      <c r="O174" s="2628">
        <v>15</v>
      </c>
      <c r="P174" s="2628">
        <v>20</v>
      </c>
      <c r="Q174" s="2628">
        <v>25</v>
      </c>
      <c r="R174" s="2628">
        <v>10</v>
      </c>
      <c r="S174" s="2629" t="s">
        <v>226</v>
      </c>
      <c r="T174" s="2382">
        <v>75</v>
      </c>
      <c r="U174" s="2383">
        <v>65</v>
      </c>
      <c r="V174" s="2378">
        <v>40</v>
      </c>
      <c r="W174" s="2379">
        <v>50</v>
      </c>
      <c r="X174" s="2378">
        <v>65</v>
      </c>
      <c r="Y174" s="2259">
        <v>25</v>
      </c>
      <c r="Z174" s="2384" t="s">
        <v>226</v>
      </c>
      <c r="AA174" s="2394"/>
      <c r="AB174" s="2394"/>
      <c r="AC174" s="2394"/>
      <c r="AD174" s="2394"/>
      <c r="AE174" s="2394"/>
      <c r="AF174" s="2394"/>
      <c r="AG174" s="2394"/>
      <c r="AH174" s="2394"/>
      <c r="AI174" s="2392"/>
      <c r="AJ174" s="2392"/>
      <c r="AK174" s="2395"/>
      <c r="AL174" s="2395"/>
      <c r="AM174" s="2395"/>
      <c r="AN174" s="2395"/>
      <c r="BO174" s="2392"/>
    </row>
    <row r="175" spans="1:67" s="2393" customFormat="1" ht="21" customHeight="1">
      <c r="A175" s="2392"/>
      <c r="C175" s="2248" t="s">
        <v>1148</v>
      </c>
      <c r="D175" s="2403"/>
      <c r="E175" s="2400" t="s">
        <v>1909</v>
      </c>
      <c r="F175" s="1842">
        <v>150</v>
      </c>
      <c r="G175" s="1843" t="s">
        <v>1910</v>
      </c>
      <c r="H175" s="1842">
        <v>180</v>
      </c>
      <c r="I175" s="1843" t="s">
        <v>1911</v>
      </c>
      <c r="J175" s="1842">
        <v>215</v>
      </c>
      <c r="K175" s="2290">
        <v>70</v>
      </c>
      <c r="L175" s="2291">
        <v>88</v>
      </c>
      <c r="M175" s="2626">
        <v>30</v>
      </c>
      <c r="N175" s="2627">
        <v>25</v>
      </c>
      <c r="O175" s="2628">
        <v>15</v>
      </c>
      <c r="P175" s="2628">
        <v>20</v>
      </c>
      <c r="Q175" s="2628">
        <v>25</v>
      </c>
      <c r="R175" s="2628">
        <v>10</v>
      </c>
      <c r="S175" s="2629" t="s">
        <v>226</v>
      </c>
      <c r="T175" s="2382">
        <v>30</v>
      </c>
      <c r="U175" s="2383">
        <v>25</v>
      </c>
      <c r="V175" s="2378">
        <v>40</v>
      </c>
      <c r="W175" s="2379">
        <v>50</v>
      </c>
      <c r="X175" s="2378">
        <v>65</v>
      </c>
      <c r="Y175" s="2259">
        <v>25</v>
      </c>
      <c r="Z175" s="2384" t="s">
        <v>226</v>
      </c>
      <c r="AA175" s="2394"/>
      <c r="AB175" s="2394"/>
      <c r="AC175" s="2394"/>
      <c r="AD175" s="2394"/>
      <c r="AE175" s="2394"/>
      <c r="AF175" s="2394"/>
      <c r="AG175" s="2394"/>
      <c r="AH175" s="2394"/>
      <c r="AI175" s="2392"/>
      <c r="AJ175" s="2392"/>
      <c r="AK175" s="2395"/>
      <c r="AL175" s="2395"/>
      <c r="AM175" s="2395"/>
      <c r="AN175" s="2395"/>
      <c r="BO175" s="2392"/>
    </row>
    <row r="176" spans="1:67" s="2393" customFormat="1" ht="21" customHeight="1">
      <c r="A176" s="2392"/>
      <c r="C176" s="2248" t="s">
        <v>1149</v>
      </c>
      <c r="D176" s="2403"/>
      <c r="E176" s="2400" t="s">
        <v>1150</v>
      </c>
      <c r="F176" s="1842">
        <v>165</v>
      </c>
      <c r="G176" s="1843" t="s">
        <v>1151</v>
      </c>
      <c r="H176" s="1842">
        <v>195</v>
      </c>
      <c r="I176" s="1843" t="s">
        <v>1152</v>
      </c>
      <c r="J176" s="1842">
        <v>235</v>
      </c>
      <c r="K176" s="2290">
        <v>155</v>
      </c>
      <c r="L176" s="2291">
        <v>194</v>
      </c>
      <c r="M176" s="2626">
        <v>60</v>
      </c>
      <c r="N176" s="2627">
        <v>50</v>
      </c>
      <c r="O176" s="2628">
        <v>30</v>
      </c>
      <c r="P176" s="2628">
        <v>40</v>
      </c>
      <c r="Q176" s="2628">
        <v>50</v>
      </c>
      <c r="R176" s="2628">
        <v>20</v>
      </c>
      <c r="S176" s="2629" t="s">
        <v>226</v>
      </c>
      <c r="T176" s="2382">
        <v>225</v>
      </c>
      <c r="U176" s="2383">
        <v>190</v>
      </c>
      <c r="V176" s="2378">
        <v>120</v>
      </c>
      <c r="W176" s="2379">
        <v>150</v>
      </c>
      <c r="X176" s="2378">
        <v>190</v>
      </c>
      <c r="Y176" s="2259">
        <v>75</v>
      </c>
      <c r="Z176" s="2384" t="s">
        <v>226</v>
      </c>
      <c r="AA176" s="2394"/>
      <c r="AB176" s="2394"/>
      <c r="AC176" s="2394"/>
      <c r="AD176" s="2394"/>
      <c r="AE176" s="2394"/>
      <c r="AF176" s="2394"/>
      <c r="AG176" s="2394"/>
      <c r="AH176" s="2394"/>
      <c r="AI176" s="2392"/>
      <c r="AJ176" s="2392"/>
      <c r="AK176" s="2395"/>
      <c r="AL176" s="2395"/>
      <c r="AM176" s="2395"/>
      <c r="AN176" s="2395"/>
      <c r="BO176" s="2392"/>
    </row>
    <row r="177" spans="1:67" s="2393" customFormat="1" ht="21" customHeight="1">
      <c r="A177" s="2392"/>
      <c r="C177" s="2248" t="s">
        <v>1153</v>
      </c>
      <c r="D177" s="2403"/>
      <c r="E177" s="2400" t="s">
        <v>1154</v>
      </c>
      <c r="F177" s="1842">
        <v>200</v>
      </c>
      <c r="G177" s="1843" t="s">
        <v>1155</v>
      </c>
      <c r="H177" s="1842">
        <v>240</v>
      </c>
      <c r="I177" s="1843" t="s">
        <v>1156</v>
      </c>
      <c r="J177" s="1842">
        <v>290</v>
      </c>
      <c r="K177" s="2290">
        <v>200</v>
      </c>
      <c r="L177" s="2291">
        <v>250</v>
      </c>
      <c r="M177" s="2626">
        <v>90</v>
      </c>
      <c r="N177" s="2627">
        <v>75</v>
      </c>
      <c r="O177" s="2628">
        <v>50</v>
      </c>
      <c r="P177" s="2628">
        <v>60</v>
      </c>
      <c r="Q177" s="2628">
        <v>75</v>
      </c>
      <c r="R177" s="2628">
        <v>30</v>
      </c>
      <c r="S177" s="2629" t="s">
        <v>226</v>
      </c>
      <c r="T177" s="2382">
        <v>270</v>
      </c>
      <c r="U177" s="2383">
        <v>225</v>
      </c>
      <c r="V177" s="2378">
        <v>145</v>
      </c>
      <c r="W177" s="2379">
        <v>180</v>
      </c>
      <c r="X177" s="2378">
        <v>225</v>
      </c>
      <c r="Y177" s="2259">
        <v>90</v>
      </c>
      <c r="Z177" s="2384" t="s">
        <v>226</v>
      </c>
      <c r="AA177" s="2394"/>
      <c r="AB177" s="2394"/>
      <c r="AC177" s="2394"/>
      <c r="AD177" s="2394"/>
      <c r="AE177" s="2394"/>
      <c r="AF177" s="2394"/>
      <c r="AG177" s="2394"/>
      <c r="AH177" s="2394"/>
      <c r="AI177" s="2392"/>
      <c r="AJ177" s="2392"/>
      <c r="AK177" s="2395"/>
      <c r="AL177" s="2395"/>
      <c r="AM177" s="2395"/>
      <c r="AN177" s="2395"/>
      <c r="BO177" s="2392"/>
    </row>
    <row r="178" spans="1:67" s="2393" customFormat="1" ht="21" customHeight="1">
      <c r="A178" s="2392"/>
      <c r="C178" s="2248" t="s">
        <v>1157</v>
      </c>
      <c r="D178" s="2403"/>
      <c r="E178" s="2400" t="s">
        <v>1158</v>
      </c>
      <c r="F178" s="1842">
        <v>110</v>
      </c>
      <c r="G178" s="1843" t="s">
        <v>1159</v>
      </c>
      <c r="H178" s="1842">
        <v>130</v>
      </c>
      <c r="I178" s="1843" t="s">
        <v>1038</v>
      </c>
      <c r="J178" s="1842">
        <v>155</v>
      </c>
      <c r="K178" s="2290">
        <v>90</v>
      </c>
      <c r="L178" s="2291">
        <v>113</v>
      </c>
      <c r="M178" s="2626">
        <v>25</v>
      </c>
      <c r="N178" s="2627">
        <v>20</v>
      </c>
      <c r="O178" s="2628">
        <v>10</v>
      </c>
      <c r="P178" s="2628">
        <v>15</v>
      </c>
      <c r="Q178" s="2628">
        <v>20</v>
      </c>
      <c r="R178" s="2628">
        <v>10</v>
      </c>
      <c r="S178" s="2629" t="s">
        <v>226</v>
      </c>
      <c r="T178" s="2382">
        <v>150</v>
      </c>
      <c r="U178" s="2383">
        <v>125</v>
      </c>
      <c r="V178" s="2378">
        <v>80</v>
      </c>
      <c r="W178" s="2379">
        <v>100</v>
      </c>
      <c r="X178" s="2378">
        <v>125</v>
      </c>
      <c r="Y178" s="2259">
        <v>50</v>
      </c>
      <c r="Z178" s="2384" t="s">
        <v>226</v>
      </c>
      <c r="AA178" s="2394"/>
      <c r="AB178" s="2394"/>
      <c r="AC178" s="2394"/>
      <c r="AD178" s="2394"/>
      <c r="AE178" s="2394"/>
      <c r="AF178" s="2394"/>
      <c r="AG178" s="2394"/>
      <c r="AH178" s="2394"/>
      <c r="AI178" s="2392"/>
      <c r="AJ178" s="2392"/>
      <c r="AK178" s="2395"/>
      <c r="AL178" s="2395"/>
      <c r="AM178" s="2395"/>
      <c r="AN178" s="2395"/>
      <c r="BO178" s="2392"/>
    </row>
    <row r="179" spans="1:67" s="2393" customFormat="1" ht="21" customHeight="1">
      <c r="A179" s="2392"/>
      <c r="C179" s="2248" t="s">
        <v>1160</v>
      </c>
      <c r="D179" s="2403"/>
      <c r="E179" s="2400" t="s">
        <v>1056</v>
      </c>
      <c r="F179" s="1842">
        <v>120</v>
      </c>
      <c r="G179" s="1843" t="s">
        <v>1057</v>
      </c>
      <c r="H179" s="1842">
        <v>140</v>
      </c>
      <c r="I179" s="1843" t="s">
        <v>1161</v>
      </c>
      <c r="J179" s="1842">
        <v>165</v>
      </c>
      <c r="K179" s="2290">
        <v>100</v>
      </c>
      <c r="L179" s="2291">
        <v>125</v>
      </c>
      <c r="M179" s="2626">
        <v>45</v>
      </c>
      <c r="N179" s="2627">
        <v>40</v>
      </c>
      <c r="O179" s="2628">
        <v>25</v>
      </c>
      <c r="P179" s="2628">
        <v>30</v>
      </c>
      <c r="Q179" s="2628">
        <v>40</v>
      </c>
      <c r="R179" s="2628">
        <v>15</v>
      </c>
      <c r="S179" s="2629" t="s">
        <v>226</v>
      </c>
      <c r="T179" s="2382">
        <v>210</v>
      </c>
      <c r="U179" s="2383">
        <v>175</v>
      </c>
      <c r="V179" s="2378">
        <v>110</v>
      </c>
      <c r="W179" s="2379">
        <v>140</v>
      </c>
      <c r="X179" s="2378">
        <v>175</v>
      </c>
      <c r="Y179" s="2259">
        <v>70</v>
      </c>
      <c r="Z179" s="2384" t="s">
        <v>226</v>
      </c>
      <c r="AA179" s="2394"/>
      <c r="AB179" s="2394"/>
      <c r="AC179" s="2394"/>
      <c r="AD179" s="2394"/>
      <c r="AE179" s="2394"/>
      <c r="AF179" s="2394"/>
      <c r="AG179" s="2394"/>
      <c r="AH179" s="2394"/>
      <c r="AI179" s="2392"/>
      <c r="AJ179" s="2392"/>
      <c r="AK179" s="2395"/>
      <c r="AL179" s="2395"/>
      <c r="AM179" s="2395"/>
      <c r="AN179" s="2395"/>
      <c r="BO179" s="2392"/>
    </row>
    <row r="180" spans="1:67" s="2393" customFormat="1" ht="21" customHeight="1">
      <c r="A180" s="2392"/>
      <c r="C180" s="2248" t="s">
        <v>1162</v>
      </c>
      <c r="D180" s="2403"/>
      <c r="E180" s="2400" t="s">
        <v>1056</v>
      </c>
      <c r="F180" s="1842">
        <v>120</v>
      </c>
      <c r="G180" s="1843" t="s">
        <v>1057</v>
      </c>
      <c r="H180" s="1842">
        <v>140</v>
      </c>
      <c r="I180" s="1843" t="s">
        <v>1161</v>
      </c>
      <c r="J180" s="1842">
        <v>165</v>
      </c>
      <c r="K180" s="2290">
        <v>100</v>
      </c>
      <c r="L180" s="2291">
        <v>125</v>
      </c>
      <c r="M180" s="2626">
        <v>45</v>
      </c>
      <c r="N180" s="2627">
        <v>40</v>
      </c>
      <c r="O180" s="2628">
        <v>25</v>
      </c>
      <c r="P180" s="2628">
        <v>30</v>
      </c>
      <c r="Q180" s="2628">
        <v>40</v>
      </c>
      <c r="R180" s="2628">
        <v>15</v>
      </c>
      <c r="S180" s="2629" t="s">
        <v>226</v>
      </c>
      <c r="T180" s="2382">
        <v>210</v>
      </c>
      <c r="U180" s="2383">
        <v>175</v>
      </c>
      <c r="V180" s="2378">
        <v>110</v>
      </c>
      <c r="W180" s="2379">
        <v>140</v>
      </c>
      <c r="X180" s="2378">
        <v>175</v>
      </c>
      <c r="Y180" s="2259">
        <v>70</v>
      </c>
      <c r="Z180" s="2384" t="s">
        <v>226</v>
      </c>
      <c r="AA180" s="2394"/>
      <c r="AB180" s="2394"/>
      <c r="AC180" s="2394"/>
      <c r="AD180" s="2394"/>
      <c r="AE180" s="2394"/>
      <c r="AF180" s="2394"/>
      <c r="AG180" s="2394"/>
      <c r="AH180" s="2394"/>
      <c r="AI180" s="2392"/>
      <c r="AJ180" s="2392"/>
      <c r="AK180" s="2395"/>
      <c r="AL180" s="2395"/>
      <c r="AM180" s="2395"/>
      <c r="AN180" s="2395"/>
      <c r="BO180" s="2392"/>
    </row>
    <row r="181" spans="1:67" s="2393" customFormat="1" ht="21" customHeight="1">
      <c r="A181" s="2392"/>
      <c r="C181" s="2248" t="s">
        <v>1163</v>
      </c>
      <c r="D181" s="2403"/>
      <c r="E181" s="2400" t="s">
        <v>1056</v>
      </c>
      <c r="F181" s="1842">
        <v>140</v>
      </c>
      <c r="G181" s="1843" t="s">
        <v>1057</v>
      </c>
      <c r="H181" s="1842">
        <v>160</v>
      </c>
      <c r="I181" s="1843" t="s">
        <v>1161</v>
      </c>
      <c r="J181" s="1842">
        <v>185</v>
      </c>
      <c r="K181" s="2290">
        <v>100</v>
      </c>
      <c r="L181" s="2291">
        <v>125</v>
      </c>
      <c r="M181" s="2626">
        <v>30</v>
      </c>
      <c r="N181" s="2627">
        <v>25</v>
      </c>
      <c r="O181" s="2628">
        <v>15</v>
      </c>
      <c r="P181" s="2628">
        <v>20</v>
      </c>
      <c r="Q181" s="2628">
        <v>25</v>
      </c>
      <c r="R181" s="2628">
        <v>10</v>
      </c>
      <c r="S181" s="2629" t="s">
        <v>226</v>
      </c>
      <c r="T181" s="2382">
        <v>175</v>
      </c>
      <c r="U181" s="2383">
        <v>145</v>
      </c>
      <c r="V181" s="2378">
        <v>90</v>
      </c>
      <c r="W181" s="2379">
        <v>115</v>
      </c>
      <c r="X181" s="2378">
        <v>145</v>
      </c>
      <c r="Y181" s="2259">
        <v>60</v>
      </c>
      <c r="Z181" s="2384" t="s">
        <v>226</v>
      </c>
      <c r="AA181" s="2394"/>
      <c r="AB181" s="2394"/>
      <c r="AC181" s="2394"/>
      <c r="AD181" s="2394"/>
      <c r="AE181" s="2394"/>
      <c r="AF181" s="2394"/>
      <c r="AG181" s="2394"/>
      <c r="AH181" s="2394"/>
      <c r="AI181" s="2392"/>
      <c r="AJ181" s="2392"/>
      <c r="AK181" s="2395"/>
      <c r="AL181" s="2395"/>
      <c r="AM181" s="2395"/>
      <c r="AN181" s="2395"/>
      <c r="BO181" s="2392"/>
    </row>
    <row r="182" spans="1:67" s="2393" customFormat="1" ht="21" customHeight="1">
      <c r="A182" s="2392"/>
      <c r="C182" s="2248" t="s">
        <v>1164</v>
      </c>
      <c r="D182" s="2403"/>
      <c r="E182" s="2400" t="s">
        <v>1165</v>
      </c>
      <c r="F182" s="1842">
        <v>130</v>
      </c>
      <c r="G182" s="1843" t="s">
        <v>1166</v>
      </c>
      <c r="H182" s="1842">
        <v>155</v>
      </c>
      <c r="I182" s="1843" t="s">
        <v>1161</v>
      </c>
      <c r="J182" s="1842">
        <v>185</v>
      </c>
      <c r="K182" s="2290">
        <v>115</v>
      </c>
      <c r="L182" s="2291">
        <v>144</v>
      </c>
      <c r="M182" s="2626">
        <v>45</v>
      </c>
      <c r="N182" s="2627">
        <v>40</v>
      </c>
      <c r="O182" s="2628">
        <v>25</v>
      </c>
      <c r="P182" s="2628">
        <v>30</v>
      </c>
      <c r="Q182" s="2628">
        <v>40</v>
      </c>
      <c r="R182" s="2628">
        <v>15</v>
      </c>
      <c r="S182" s="2629" t="s">
        <v>226</v>
      </c>
      <c r="T182" s="2382">
        <v>210</v>
      </c>
      <c r="U182" s="2383">
        <v>175</v>
      </c>
      <c r="V182" s="2378">
        <v>110</v>
      </c>
      <c r="W182" s="2379">
        <v>140</v>
      </c>
      <c r="X182" s="2378">
        <v>175</v>
      </c>
      <c r="Y182" s="2259">
        <v>70</v>
      </c>
      <c r="Z182" s="2384" t="s">
        <v>226</v>
      </c>
      <c r="AA182" s="2394"/>
      <c r="AB182" s="2394"/>
      <c r="AC182" s="2394"/>
      <c r="AD182" s="2394"/>
      <c r="AE182" s="2394"/>
      <c r="AF182" s="2394"/>
      <c r="AG182" s="2394"/>
      <c r="AH182" s="2394"/>
      <c r="AI182" s="2392"/>
      <c r="AJ182" s="2392"/>
      <c r="AK182" s="2395"/>
      <c r="AL182" s="2395"/>
      <c r="AM182" s="2395"/>
      <c r="AN182" s="2395"/>
      <c r="BO182" s="2392"/>
    </row>
    <row r="183" spans="1:67" s="2393" customFormat="1" ht="21" customHeight="1">
      <c r="A183" s="2392"/>
      <c r="C183" s="2248" t="s">
        <v>2039</v>
      </c>
      <c r="D183" s="2403"/>
      <c r="E183" s="2400" t="s">
        <v>1165</v>
      </c>
      <c r="F183" s="1842">
        <v>150</v>
      </c>
      <c r="G183" s="1843" t="s">
        <v>1166</v>
      </c>
      <c r="H183" s="1842">
        <v>175</v>
      </c>
      <c r="I183" s="1843" t="s">
        <v>1161</v>
      </c>
      <c r="J183" s="1842">
        <v>205</v>
      </c>
      <c r="K183" s="2290">
        <v>115</v>
      </c>
      <c r="L183" s="2291">
        <v>144</v>
      </c>
      <c r="M183" s="2626">
        <v>45</v>
      </c>
      <c r="N183" s="2627">
        <v>40</v>
      </c>
      <c r="O183" s="2628">
        <v>25</v>
      </c>
      <c r="P183" s="2628">
        <v>30</v>
      </c>
      <c r="Q183" s="2628">
        <v>40</v>
      </c>
      <c r="R183" s="2628">
        <v>15</v>
      </c>
      <c r="S183" s="2629" t="s">
        <v>226</v>
      </c>
      <c r="T183" s="2382">
        <v>210</v>
      </c>
      <c r="U183" s="2383">
        <v>175</v>
      </c>
      <c r="V183" s="2378">
        <v>110</v>
      </c>
      <c r="W183" s="2379">
        <v>140</v>
      </c>
      <c r="X183" s="2378">
        <v>175</v>
      </c>
      <c r="Y183" s="2259">
        <v>70</v>
      </c>
      <c r="Z183" s="2384" t="s">
        <v>226</v>
      </c>
      <c r="AA183" s="2394"/>
      <c r="AB183" s="2394"/>
      <c r="AC183" s="2394"/>
      <c r="AD183" s="2394"/>
      <c r="AE183" s="2394"/>
      <c r="AF183" s="2394"/>
      <c r="AG183" s="2394"/>
      <c r="AH183" s="2394"/>
      <c r="AI183" s="2392"/>
      <c r="AJ183" s="2392"/>
      <c r="AK183" s="2395"/>
      <c r="AL183" s="2395"/>
      <c r="AM183" s="2395"/>
      <c r="AN183" s="2395"/>
      <c r="BO183" s="2392"/>
    </row>
    <row r="184" spans="1:67" s="2393" customFormat="1" ht="21" customHeight="1">
      <c r="A184" s="2392"/>
      <c r="C184" s="2248" t="s">
        <v>1167</v>
      </c>
      <c r="D184" s="2403"/>
      <c r="E184" s="2400" t="s">
        <v>1165</v>
      </c>
      <c r="F184" s="1842">
        <v>160</v>
      </c>
      <c r="G184" s="1843" t="s">
        <v>1168</v>
      </c>
      <c r="H184" s="1842">
        <v>190</v>
      </c>
      <c r="I184" s="1843" t="s">
        <v>1169</v>
      </c>
      <c r="J184" s="1842">
        <v>230</v>
      </c>
      <c r="K184" s="2290">
        <v>150</v>
      </c>
      <c r="L184" s="2291">
        <v>188</v>
      </c>
      <c r="M184" s="2626">
        <v>55</v>
      </c>
      <c r="N184" s="2627">
        <v>45</v>
      </c>
      <c r="O184" s="2628">
        <v>30</v>
      </c>
      <c r="P184" s="2628">
        <v>35</v>
      </c>
      <c r="Q184" s="2628">
        <v>45</v>
      </c>
      <c r="R184" s="2628">
        <v>20</v>
      </c>
      <c r="S184" s="2629" t="s">
        <v>226</v>
      </c>
      <c r="T184" s="2382">
        <v>210</v>
      </c>
      <c r="U184" s="2383">
        <v>175</v>
      </c>
      <c r="V184" s="2378">
        <v>110</v>
      </c>
      <c r="W184" s="2379">
        <v>140</v>
      </c>
      <c r="X184" s="2378">
        <v>175</v>
      </c>
      <c r="Y184" s="2259">
        <v>70</v>
      </c>
      <c r="Z184" s="2384" t="s">
        <v>226</v>
      </c>
      <c r="AA184" s="2394"/>
      <c r="AB184" s="2394"/>
      <c r="AC184" s="2394"/>
      <c r="AD184" s="2394"/>
      <c r="AE184" s="2394"/>
      <c r="AF184" s="2394"/>
      <c r="AG184" s="2394"/>
      <c r="AH184" s="2394"/>
      <c r="AI184" s="2392"/>
      <c r="AJ184" s="2392"/>
      <c r="AK184" s="2395"/>
      <c r="AL184" s="2395"/>
      <c r="AM184" s="2395"/>
      <c r="AN184" s="2395"/>
      <c r="BO184" s="2392"/>
    </row>
    <row r="185" spans="1:67" s="2393" customFormat="1" ht="21" customHeight="1">
      <c r="A185" s="2392"/>
      <c r="C185" s="2248" t="s">
        <v>1170</v>
      </c>
      <c r="D185" s="2403"/>
      <c r="E185" s="2400" t="s">
        <v>1114</v>
      </c>
      <c r="F185" s="1842">
        <v>95</v>
      </c>
      <c r="G185" s="1843" t="s">
        <v>1171</v>
      </c>
      <c r="H185" s="1842">
        <v>110</v>
      </c>
      <c r="I185" s="1843" t="s">
        <v>1172</v>
      </c>
      <c r="J185" s="1842">
        <v>130</v>
      </c>
      <c r="K185" s="2290">
        <v>70</v>
      </c>
      <c r="L185" s="2291">
        <v>88</v>
      </c>
      <c r="M185" s="2626">
        <v>30</v>
      </c>
      <c r="N185" s="2627">
        <v>25</v>
      </c>
      <c r="O185" s="2628">
        <v>15</v>
      </c>
      <c r="P185" s="2628">
        <v>20</v>
      </c>
      <c r="Q185" s="2628">
        <v>25</v>
      </c>
      <c r="R185" s="2628">
        <v>10</v>
      </c>
      <c r="S185" s="2629" t="s">
        <v>226</v>
      </c>
      <c r="T185" s="2382">
        <v>75</v>
      </c>
      <c r="U185" s="2383">
        <v>65</v>
      </c>
      <c r="V185" s="2378">
        <v>40</v>
      </c>
      <c r="W185" s="2379">
        <v>50</v>
      </c>
      <c r="X185" s="2378">
        <v>65</v>
      </c>
      <c r="Y185" s="2259">
        <v>25</v>
      </c>
      <c r="Z185" s="2384" t="s">
        <v>226</v>
      </c>
      <c r="AA185" s="2394"/>
      <c r="AB185" s="2394"/>
      <c r="AC185" s="2394"/>
      <c r="AD185" s="2394"/>
      <c r="AE185" s="2394"/>
      <c r="AF185" s="2394"/>
      <c r="AG185" s="2394"/>
      <c r="AH185" s="2394"/>
      <c r="AI185" s="2392"/>
      <c r="AJ185" s="2392"/>
      <c r="AK185" s="2395"/>
      <c r="AL185" s="2395"/>
      <c r="AM185" s="2395"/>
      <c r="AN185" s="2395"/>
      <c r="BO185" s="2392"/>
    </row>
    <row r="186" spans="1:67" s="2393" customFormat="1" ht="21" customHeight="1">
      <c r="A186" s="2392"/>
      <c r="C186" s="2248" t="s">
        <v>1173</v>
      </c>
      <c r="D186" s="2403"/>
      <c r="E186" s="2400" t="s">
        <v>1056</v>
      </c>
      <c r="F186" s="1842">
        <v>210</v>
      </c>
      <c r="G186" s="1843" t="s">
        <v>1057</v>
      </c>
      <c r="H186" s="1842">
        <v>250</v>
      </c>
      <c r="I186" s="1843" t="s">
        <v>1161</v>
      </c>
      <c r="J186" s="1842">
        <v>305</v>
      </c>
      <c r="K186" s="2290">
        <v>250</v>
      </c>
      <c r="L186" s="2291">
        <v>313</v>
      </c>
      <c r="M186" s="2626">
        <v>60</v>
      </c>
      <c r="N186" s="2627">
        <v>50</v>
      </c>
      <c r="O186" s="2628">
        <v>30</v>
      </c>
      <c r="P186" s="2628">
        <v>40</v>
      </c>
      <c r="Q186" s="2628">
        <v>50</v>
      </c>
      <c r="R186" s="2628">
        <v>20</v>
      </c>
      <c r="S186" s="2629" t="s">
        <v>226</v>
      </c>
      <c r="T186" s="2382">
        <v>210</v>
      </c>
      <c r="U186" s="2383">
        <v>175</v>
      </c>
      <c r="V186" s="2378">
        <v>110</v>
      </c>
      <c r="W186" s="2379">
        <v>140</v>
      </c>
      <c r="X186" s="2378">
        <v>175</v>
      </c>
      <c r="Y186" s="2259">
        <v>70</v>
      </c>
      <c r="Z186" s="2384" t="s">
        <v>226</v>
      </c>
      <c r="AA186" s="2394"/>
      <c r="AB186" s="2394"/>
      <c r="AC186" s="2394"/>
      <c r="AD186" s="2394"/>
      <c r="AE186" s="2394"/>
      <c r="AF186" s="2394"/>
      <c r="AG186" s="2394"/>
      <c r="AH186" s="2394"/>
      <c r="AI186" s="2392"/>
      <c r="AJ186" s="2392"/>
      <c r="AK186" s="2395"/>
      <c r="AL186" s="2395"/>
      <c r="AM186" s="2395"/>
      <c r="AN186" s="2395"/>
      <c r="BO186" s="2392"/>
    </row>
    <row r="187" spans="1:67" s="2393" customFormat="1" ht="21" customHeight="1">
      <c r="A187" s="2392"/>
      <c r="C187" s="2248" t="s">
        <v>1175</v>
      </c>
      <c r="D187" s="2403"/>
      <c r="E187" s="2400" t="s">
        <v>1002</v>
      </c>
      <c r="F187" s="1842">
        <v>95</v>
      </c>
      <c r="G187" s="1843" t="s">
        <v>1119</v>
      </c>
      <c r="H187" s="1842">
        <v>110</v>
      </c>
      <c r="I187" s="1843" t="s">
        <v>1176</v>
      </c>
      <c r="J187" s="1842">
        <v>130</v>
      </c>
      <c r="K187" s="2290">
        <v>70</v>
      </c>
      <c r="L187" s="2291">
        <v>88</v>
      </c>
      <c r="M187" s="2626">
        <v>45</v>
      </c>
      <c r="N187" s="2627">
        <v>40</v>
      </c>
      <c r="O187" s="2628">
        <v>25</v>
      </c>
      <c r="P187" s="2628">
        <v>30</v>
      </c>
      <c r="Q187" s="2628">
        <v>40</v>
      </c>
      <c r="R187" s="2628">
        <v>15</v>
      </c>
      <c r="S187" s="2629" t="s">
        <v>226</v>
      </c>
      <c r="T187" s="2382">
        <v>90</v>
      </c>
      <c r="U187" s="2383">
        <v>75</v>
      </c>
      <c r="V187" s="2378">
        <v>50</v>
      </c>
      <c r="W187" s="2379">
        <v>60</v>
      </c>
      <c r="X187" s="2378">
        <v>75</v>
      </c>
      <c r="Y187" s="2259">
        <v>30</v>
      </c>
      <c r="Z187" s="2384" t="s">
        <v>226</v>
      </c>
      <c r="AA187" s="2394"/>
      <c r="AB187" s="2394"/>
      <c r="AC187" s="2394"/>
      <c r="AD187" s="2394"/>
      <c r="AE187" s="2394"/>
      <c r="AF187" s="2394"/>
      <c r="AG187" s="2394"/>
      <c r="AH187" s="2394"/>
      <c r="AI187" s="2392"/>
      <c r="AJ187" s="2392"/>
      <c r="AK187" s="2395"/>
      <c r="AL187" s="2395"/>
      <c r="AM187" s="2395"/>
      <c r="AN187" s="2395"/>
      <c r="BO187" s="2392"/>
    </row>
    <row r="188" spans="1:67" s="2393" customFormat="1" ht="21" customHeight="1">
      <c r="A188" s="2392"/>
      <c r="C188" s="2248" t="s">
        <v>1177</v>
      </c>
      <c r="D188" s="2403"/>
      <c r="E188" s="2400" t="s">
        <v>1023</v>
      </c>
      <c r="F188" s="1842">
        <v>185</v>
      </c>
      <c r="G188" s="1843" t="s">
        <v>1024</v>
      </c>
      <c r="H188" s="1842">
        <v>220</v>
      </c>
      <c r="I188" s="1843" t="s">
        <v>1174</v>
      </c>
      <c r="J188" s="1842">
        <v>265</v>
      </c>
      <c r="K188" s="2290">
        <v>180</v>
      </c>
      <c r="L188" s="2291">
        <v>225</v>
      </c>
      <c r="M188" s="2626">
        <v>60</v>
      </c>
      <c r="N188" s="2627">
        <v>50</v>
      </c>
      <c r="O188" s="2628">
        <v>30</v>
      </c>
      <c r="P188" s="2628">
        <v>40</v>
      </c>
      <c r="Q188" s="2628">
        <v>50</v>
      </c>
      <c r="R188" s="2628">
        <v>20</v>
      </c>
      <c r="S188" s="2629" t="s">
        <v>226</v>
      </c>
      <c r="T188" s="2382">
        <v>270</v>
      </c>
      <c r="U188" s="2383">
        <v>225</v>
      </c>
      <c r="V188" s="2378">
        <v>145</v>
      </c>
      <c r="W188" s="2379">
        <v>180</v>
      </c>
      <c r="X188" s="2378">
        <v>225</v>
      </c>
      <c r="Y188" s="2259">
        <v>90</v>
      </c>
      <c r="Z188" s="2384" t="s">
        <v>226</v>
      </c>
      <c r="AA188" s="2394"/>
      <c r="AB188" s="2394"/>
      <c r="AC188" s="2394"/>
      <c r="AD188" s="2394"/>
      <c r="AE188" s="2394"/>
      <c r="AF188" s="2394"/>
      <c r="AG188" s="2394"/>
      <c r="AH188" s="2394"/>
      <c r="AI188" s="2392"/>
      <c r="AJ188" s="2392"/>
      <c r="AK188" s="2395"/>
      <c r="AL188" s="2395"/>
      <c r="AM188" s="2395"/>
      <c r="AN188" s="2395"/>
      <c r="BO188" s="2392"/>
    </row>
    <row r="189" spans="1:67" s="2393" customFormat="1" ht="21" customHeight="1">
      <c r="A189" s="2392"/>
      <c r="C189" s="2248" t="s">
        <v>1178</v>
      </c>
      <c r="D189" s="2403"/>
      <c r="E189" s="2400" t="s">
        <v>1184</v>
      </c>
      <c r="F189" s="1842">
        <v>185</v>
      </c>
      <c r="G189" s="1843" t="s">
        <v>1059</v>
      </c>
      <c r="H189" s="1842">
        <v>220</v>
      </c>
      <c r="I189" s="1843" t="s">
        <v>1060</v>
      </c>
      <c r="J189" s="1842">
        <v>265</v>
      </c>
      <c r="K189" s="2290">
        <v>180</v>
      </c>
      <c r="L189" s="2291">
        <v>225</v>
      </c>
      <c r="M189" s="2626">
        <v>75</v>
      </c>
      <c r="N189" s="2627">
        <v>65</v>
      </c>
      <c r="O189" s="2628">
        <v>40</v>
      </c>
      <c r="P189" s="2628">
        <v>50</v>
      </c>
      <c r="Q189" s="2628">
        <v>65</v>
      </c>
      <c r="R189" s="2628">
        <v>25</v>
      </c>
      <c r="S189" s="2629" t="s">
        <v>226</v>
      </c>
      <c r="T189" s="2382">
        <v>315</v>
      </c>
      <c r="U189" s="2383">
        <v>265</v>
      </c>
      <c r="V189" s="2378">
        <v>170</v>
      </c>
      <c r="W189" s="2379">
        <v>210</v>
      </c>
      <c r="X189" s="2378">
        <v>265</v>
      </c>
      <c r="Y189" s="2259">
        <v>105</v>
      </c>
      <c r="Z189" s="2384" t="s">
        <v>226</v>
      </c>
      <c r="AA189" s="2394"/>
      <c r="AB189" s="2394"/>
      <c r="AC189" s="2394"/>
      <c r="AD189" s="2394"/>
      <c r="AE189" s="2394"/>
      <c r="AF189" s="2394"/>
      <c r="AG189" s="2394"/>
      <c r="AH189" s="2394"/>
      <c r="AI189" s="2392"/>
      <c r="AJ189" s="2392"/>
      <c r="AK189" s="2395"/>
      <c r="AL189" s="2396"/>
      <c r="AM189" s="2397"/>
      <c r="AN189" s="2396"/>
      <c r="AO189" s="2397"/>
      <c r="AP189" s="2396"/>
      <c r="AQ189" s="2397"/>
      <c r="BO189" s="2392"/>
    </row>
    <row r="190" spans="1:67" s="2393" customFormat="1" ht="21" customHeight="1">
      <c r="A190" s="2392"/>
      <c r="C190" s="2248" t="s">
        <v>1179</v>
      </c>
      <c r="D190" s="2403"/>
      <c r="E190" s="2400" t="s">
        <v>1184</v>
      </c>
      <c r="F190" s="1842">
        <v>185</v>
      </c>
      <c r="G190" s="1843" t="s">
        <v>1912</v>
      </c>
      <c r="H190" s="1842">
        <v>220</v>
      </c>
      <c r="I190" s="1843" t="s">
        <v>1232</v>
      </c>
      <c r="J190" s="1842">
        <v>265</v>
      </c>
      <c r="K190" s="2290">
        <v>180</v>
      </c>
      <c r="L190" s="2291">
        <v>225</v>
      </c>
      <c r="M190" s="2626">
        <v>60</v>
      </c>
      <c r="N190" s="2627">
        <v>50</v>
      </c>
      <c r="O190" s="2628">
        <v>30</v>
      </c>
      <c r="P190" s="2628">
        <v>40</v>
      </c>
      <c r="Q190" s="2628">
        <v>50</v>
      </c>
      <c r="R190" s="2628">
        <v>20</v>
      </c>
      <c r="S190" s="2629" t="s">
        <v>226</v>
      </c>
      <c r="T190" s="2382">
        <v>210</v>
      </c>
      <c r="U190" s="2383">
        <v>175</v>
      </c>
      <c r="V190" s="2378">
        <v>110</v>
      </c>
      <c r="W190" s="2379">
        <v>140</v>
      </c>
      <c r="X190" s="2378">
        <v>175</v>
      </c>
      <c r="Y190" s="2259">
        <v>70</v>
      </c>
      <c r="Z190" s="2384" t="s">
        <v>226</v>
      </c>
      <c r="AA190" s="2394"/>
      <c r="AB190" s="2394"/>
      <c r="AC190" s="2394"/>
      <c r="AD190" s="2394"/>
      <c r="AE190" s="2394"/>
      <c r="AF190" s="2394"/>
      <c r="AG190" s="2394"/>
      <c r="AH190" s="2394"/>
      <c r="AI190" s="2392"/>
      <c r="AJ190" s="2392"/>
      <c r="AK190" s="2395"/>
      <c r="AL190" s="2396"/>
      <c r="AM190" s="2397"/>
      <c r="AN190" s="2396"/>
      <c r="AO190" s="2397"/>
      <c r="AP190" s="2396"/>
      <c r="AQ190" s="2397"/>
      <c r="BO190" s="2392"/>
    </row>
    <row r="191" spans="1:67" s="2393" customFormat="1" ht="21" customHeight="1">
      <c r="A191" s="2392"/>
      <c r="C191" s="2248" t="s">
        <v>1180</v>
      </c>
      <c r="D191" s="2403"/>
      <c r="E191" s="2400" t="s">
        <v>1913</v>
      </c>
      <c r="F191" s="1842">
        <v>245</v>
      </c>
      <c r="G191" s="1843" t="s">
        <v>1914</v>
      </c>
      <c r="H191" s="1842">
        <v>295</v>
      </c>
      <c r="I191" s="1843" t="s">
        <v>1915</v>
      </c>
      <c r="J191" s="1842">
        <v>360</v>
      </c>
      <c r="K191" s="2290">
        <v>180</v>
      </c>
      <c r="L191" s="2291">
        <v>225</v>
      </c>
      <c r="M191" s="2626">
        <v>120</v>
      </c>
      <c r="N191" s="2627">
        <v>100</v>
      </c>
      <c r="O191" s="2628">
        <v>65</v>
      </c>
      <c r="P191" s="2628">
        <v>80</v>
      </c>
      <c r="Q191" s="2628">
        <v>100</v>
      </c>
      <c r="R191" s="2628">
        <v>40</v>
      </c>
      <c r="S191" s="2629" t="s">
        <v>226</v>
      </c>
      <c r="T191" s="2382">
        <v>420</v>
      </c>
      <c r="U191" s="2383">
        <v>350</v>
      </c>
      <c r="V191" s="2378">
        <v>225</v>
      </c>
      <c r="W191" s="2379">
        <v>280</v>
      </c>
      <c r="X191" s="2378">
        <v>350</v>
      </c>
      <c r="Y191" s="2259">
        <v>140</v>
      </c>
      <c r="Z191" s="2384" t="s">
        <v>226</v>
      </c>
      <c r="AA191" s="2394"/>
      <c r="AB191" s="2394"/>
      <c r="AC191" s="2394"/>
      <c r="AD191" s="2394"/>
      <c r="AE191" s="2394"/>
      <c r="AF191" s="2394"/>
      <c r="AG191" s="2394"/>
      <c r="AH191" s="2394"/>
      <c r="AI191" s="2392"/>
      <c r="AJ191" s="2392"/>
      <c r="AK191" s="2395"/>
      <c r="AL191" s="2396"/>
      <c r="AM191" s="2397"/>
      <c r="AN191" s="2396"/>
      <c r="AO191" s="2397"/>
      <c r="AP191" s="2396"/>
      <c r="AQ191" s="2397"/>
      <c r="BO191" s="2392"/>
    </row>
    <row r="192" spans="1:67" s="2393" customFormat="1" ht="21" customHeight="1">
      <c r="A192" s="2392"/>
      <c r="C192" s="2248" t="s">
        <v>1181</v>
      </c>
      <c r="D192" s="2403"/>
      <c r="E192" s="2400" t="s">
        <v>1150</v>
      </c>
      <c r="F192" s="1842">
        <v>220</v>
      </c>
      <c r="G192" s="1843" t="s">
        <v>1182</v>
      </c>
      <c r="H192" s="1842">
        <v>260</v>
      </c>
      <c r="I192" s="1843" t="s">
        <v>1098</v>
      </c>
      <c r="J192" s="1842">
        <v>310</v>
      </c>
      <c r="K192" s="2290">
        <v>200</v>
      </c>
      <c r="L192" s="2291">
        <v>250</v>
      </c>
      <c r="M192" s="2626">
        <v>55</v>
      </c>
      <c r="N192" s="2627">
        <v>45</v>
      </c>
      <c r="O192" s="2628">
        <v>30</v>
      </c>
      <c r="P192" s="2628">
        <v>35</v>
      </c>
      <c r="Q192" s="2628">
        <v>45</v>
      </c>
      <c r="R192" s="2628">
        <v>20</v>
      </c>
      <c r="S192" s="2629" t="s">
        <v>226</v>
      </c>
      <c r="T192" s="2382">
        <v>195</v>
      </c>
      <c r="U192" s="2383">
        <v>165</v>
      </c>
      <c r="V192" s="2378">
        <v>105</v>
      </c>
      <c r="W192" s="2379">
        <v>130</v>
      </c>
      <c r="X192" s="2378">
        <v>165</v>
      </c>
      <c r="Y192" s="2259">
        <v>65</v>
      </c>
      <c r="Z192" s="2384" t="s">
        <v>226</v>
      </c>
      <c r="AA192" s="2394"/>
      <c r="AB192" s="2394"/>
      <c r="AC192" s="2394"/>
      <c r="AD192" s="2394"/>
      <c r="AE192" s="2394"/>
      <c r="AF192" s="2394"/>
      <c r="AG192" s="2394"/>
      <c r="AH192" s="2394"/>
      <c r="AI192" s="2392"/>
      <c r="AJ192" s="2392"/>
      <c r="AK192" s="2395"/>
      <c r="AL192" s="2396"/>
      <c r="AM192" s="2397"/>
      <c r="AN192" s="2396"/>
      <c r="AO192" s="2397"/>
      <c r="AP192" s="2396"/>
      <c r="AQ192" s="2397"/>
      <c r="BO192" s="2392"/>
    </row>
    <row r="193" spans="1:67" s="2393" customFormat="1" ht="21" customHeight="1">
      <c r="A193" s="2392"/>
      <c r="C193" s="2248" t="s">
        <v>1183</v>
      </c>
      <c r="D193" s="2403"/>
      <c r="E193" s="2400" t="s">
        <v>1184</v>
      </c>
      <c r="F193" s="1842">
        <v>130</v>
      </c>
      <c r="G193" s="1843" t="s">
        <v>1059</v>
      </c>
      <c r="H193" s="1842">
        <v>150</v>
      </c>
      <c r="I193" s="1843" t="s">
        <v>1060</v>
      </c>
      <c r="J193" s="1842">
        <v>180</v>
      </c>
      <c r="K193" s="2290">
        <v>110</v>
      </c>
      <c r="L193" s="2291">
        <v>138</v>
      </c>
      <c r="M193" s="2626">
        <v>45</v>
      </c>
      <c r="N193" s="2627">
        <v>40</v>
      </c>
      <c r="O193" s="2628">
        <v>25</v>
      </c>
      <c r="P193" s="2628">
        <v>30</v>
      </c>
      <c r="Q193" s="2628">
        <v>40</v>
      </c>
      <c r="R193" s="2628">
        <v>15</v>
      </c>
      <c r="S193" s="2629" t="s">
        <v>226</v>
      </c>
      <c r="T193" s="2382">
        <v>300</v>
      </c>
      <c r="U193" s="2383">
        <v>250</v>
      </c>
      <c r="V193" s="2378">
        <v>160</v>
      </c>
      <c r="W193" s="2379">
        <v>200</v>
      </c>
      <c r="X193" s="2378">
        <v>250</v>
      </c>
      <c r="Y193" s="2259">
        <v>100</v>
      </c>
      <c r="Z193" s="2384" t="s">
        <v>226</v>
      </c>
      <c r="AA193" s="2394"/>
      <c r="AB193" s="2394"/>
      <c r="AC193" s="2394"/>
      <c r="AD193" s="2394"/>
      <c r="AE193" s="2394"/>
      <c r="AF193" s="2394"/>
      <c r="AG193" s="2394"/>
      <c r="AH193" s="2394"/>
      <c r="AI193" s="2392"/>
      <c r="AJ193" s="2392"/>
      <c r="AK193" s="2395"/>
      <c r="AL193" s="2396"/>
      <c r="AM193" s="2397"/>
      <c r="AN193" s="2396"/>
      <c r="AO193" s="2397"/>
      <c r="AP193" s="2396"/>
      <c r="AQ193" s="2397"/>
      <c r="BO193" s="2392"/>
    </row>
    <row r="194" spans="1:67" s="2393" customFormat="1" ht="21" customHeight="1">
      <c r="A194" s="2392"/>
      <c r="C194" s="2248" t="s">
        <v>1185</v>
      </c>
      <c r="D194" s="2403"/>
      <c r="E194" s="2400" t="s">
        <v>1186</v>
      </c>
      <c r="F194" s="1842">
        <v>175</v>
      </c>
      <c r="G194" s="1843" t="s">
        <v>1187</v>
      </c>
      <c r="H194" s="1842">
        <v>210</v>
      </c>
      <c r="I194" s="1843" t="s">
        <v>1188</v>
      </c>
      <c r="J194" s="1842">
        <v>255</v>
      </c>
      <c r="K194" s="2290">
        <v>150</v>
      </c>
      <c r="L194" s="2291">
        <v>188</v>
      </c>
      <c r="M194" s="2626">
        <v>75</v>
      </c>
      <c r="N194" s="2627">
        <v>65</v>
      </c>
      <c r="O194" s="2628">
        <v>40</v>
      </c>
      <c r="P194" s="2628">
        <v>50</v>
      </c>
      <c r="Q194" s="2628">
        <v>65</v>
      </c>
      <c r="R194" s="2628">
        <v>25</v>
      </c>
      <c r="S194" s="2629" t="s">
        <v>226</v>
      </c>
      <c r="T194" s="2382">
        <v>375</v>
      </c>
      <c r="U194" s="2383">
        <v>315</v>
      </c>
      <c r="V194" s="2378">
        <v>200</v>
      </c>
      <c r="W194" s="2379">
        <v>250</v>
      </c>
      <c r="X194" s="2378">
        <v>315</v>
      </c>
      <c r="Y194" s="2259">
        <v>125</v>
      </c>
      <c r="Z194" s="2384" t="s">
        <v>226</v>
      </c>
      <c r="AA194" s="2394"/>
      <c r="AB194" s="2394"/>
      <c r="AC194" s="2394"/>
      <c r="AD194" s="2394"/>
      <c r="AE194" s="2394"/>
      <c r="AF194" s="2394"/>
      <c r="AG194" s="2394"/>
      <c r="AH194" s="2394"/>
      <c r="AI194" s="2392"/>
      <c r="AJ194" s="2392"/>
      <c r="AK194" s="2395"/>
      <c r="AL194" s="2396"/>
      <c r="AM194" s="2397"/>
      <c r="AN194" s="2396"/>
      <c r="AO194" s="2397"/>
      <c r="AP194" s="2396"/>
      <c r="AQ194" s="2397"/>
      <c r="BO194" s="2392"/>
    </row>
    <row r="195" spans="1:67" s="2393" customFormat="1" ht="21" customHeight="1">
      <c r="A195" s="2392"/>
      <c r="C195" s="2248" t="s">
        <v>1189</v>
      </c>
      <c r="D195" s="2403"/>
      <c r="E195" s="2400" t="s">
        <v>1210</v>
      </c>
      <c r="F195" s="1842">
        <v>160</v>
      </c>
      <c r="G195" s="1843" t="s">
        <v>1916</v>
      </c>
      <c r="H195" s="1842">
        <v>190</v>
      </c>
      <c r="I195" s="1843" t="s">
        <v>1249</v>
      </c>
      <c r="J195" s="1842">
        <v>230</v>
      </c>
      <c r="K195" s="2290">
        <v>150</v>
      </c>
      <c r="L195" s="2291">
        <v>188</v>
      </c>
      <c r="M195" s="2626">
        <v>75</v>
      </c>
      <c r="N195" s="2627">
        <v>65</v>
      </c>
      <c r="O195" s="2628">
        <v>40</v>
      </c>
      <c r="P195" s="2628">
        <v>50</v>
      </c>
      <c r="Q195" s="2628">
        <v>65</v>
      </c>
      <c r="R195" s="2628">
        <v>25</v>
      </c>
      <c r="S195" s="2629" t="s">
        <v>226</v>
      </c>
      <c r="T195" s="2382">
        <v>375</v>
      </c>
      <c r="U195" s="2383">
        <v>315</v>
      </c>
      <c r="V195" s="2378">
        <v>200</v>
      </c>
      <c r="W195" s="2379">
        <v>250</v>
      </c>
      <c r="X195" s="2378">
        <v>315</v>
      </c>
      <c r="Y195" s="2259">
        <v>125</v>
      </c>
      <c r="Z195" s="2384" t="s">
        <v>226</v>
      </c>
      <c r="AA195" s="2394"/>
      <c r="AB195" s="2394"/>
      <c r="AC195" s="2394"/>
      <c r="AD195" s="2394"/>
      <c r="AE195" s="2394"/>
      <c r="AF195" s="2394"/>
      <c r="AG195" s="2394"/>
      <c r="AH195" s="2394"/>
      <c r="AI195" s="2392"/>
      <c r="AJ195" s="2392"/>
      <c r="AK195" s="2395"/>
      <c r="AL195" s="2396"/>
      <c r="AM195" s="2397"/>
      <c r="AN195" s="2396"/>
      <c r="AO195" s="2397"/>
      <c r="AP195" s="2396"/>
      <c r="AQ195" s="2397"/>
      <c r="BO195" s="2392"/>
    </row>
    <row r="196" spans="1:67" s="2393" customFormat="1" ht="21" customHeight="1">
      <c r="A196" s="2392"/>
      <c r="C196" s="2248" t="s">
        <v>1190</v>
      </c>
      <c r="D196" s="2403"/>
      <c r="E196" s="2400" t="s">
        <v>226</v>
      </c>
      <c r="F196" s="1842">
        <v>105</v>
      </c>
      <c r="G196" s="1843" t="s">
        <v>226</v>
      </c>
      <c r="H196" s="1842">
        <v>120</v>
      </c>
      <c r="I196" s="1843" t="s">
        <v>226</v>
      </c>
      <c r="J196" s="1842">
        <v>140</v>
      </c>
      <c r="K196" s="2290">
        <v>120</v>
      </c>
      <c r="L196" s="2291">
        <v>150</v>
      </c>
      <c r="M196" s="2626">
        <v>45</v>
      </c>
      <c r="N196" s="2627">
        <v>40</v>
      </c>
      <c r="O196" s="2628">
        <v>25</v>
      </c>
      <c r="P196" s="2628">
        <v>30</v>
      </c>
      <c r="Q196" s="2628">
        <v>40</v>
      </c>
      <c r="R196" s="2628">
        <v>15</v>
      </c>
      <c r="S196" s="2629" t="s">
        <v>226</v>
      </c>
      <c r="T196" s="2382">
        <v>285</v>
      </c>
      <c r="U196" s="2383">
        <v>240</v>
      </c>
      <c r="V196" s="2378">
        <v>150</v>
      </c>
      <c r="W196" s="2379">
        <v>190</v>
      </c>
      <c r="X196" s="2378">
        <v>240</v>
      </c>
      <c r="Y196" s="2259">
        <v>95</v>
      </c>
      <c r="Z196" s="2384" t="s">
        <v>226</v>
      </c>
      <c r="AA196" s="2394"/>
      <c r="AB196" s="2394"/>
      <c r="AC196" s="2394"/>
      <c r="AD196" s="2394"/>
      <c r="AE196" s="2394"/>
      <c r="AF196" s="2394"/>
      <c r="AG196" s="2394"/>
      <c r="AH196" s="2394"/>
      <c r="AI196" s="2392"/>
      <c r="AJ196" s="2392"/>
      <c r="AK196" s="2395"/>
      <c r="AL196" s="2396"/>
      <c r="AM196" s="2397"/>
      <c r="AN196" s="2396"/>
      <c r="AO196" s="2397"/>
      <c r="AP196" s="2396"/>
      <c r="AQ196" s="2397"/>
      <c r="BO196" s="2392"/>
    </row>
    <row r="197" spans="1:67" s="2393" customFormat="1" ht="21" customHeight="1">
      <c r="A197" s="2392"/>
      <c r="C197" s="2248" t="s">
        <v>1191</v>
      </c>
      <c r="D197" s="2403"/>
      <c r="E197" s="2400" t="s">
        <v>1114</v>
      </c>
      <c r="F197" s="1842">
        <v>80</v>
      </c>
      <c r="G197" s="1843" t="s">
        <v>1192</v>
      </c>
      <c r="H197" s="1842">
        <v>95</v>
      </c>
      <c r="I197" s="1843" t="s">
        <v>1176</v>
      </c>
      <c r="J197" s="1842">
        <v>115</v>
      </c>
      <c r="K197" s="2290">
        <v>75</v>
      </c>
      <c r="L197" s="2291">
        <v>94</v>
      </c>
      <c r="M197" s="2626">
        <v>45</v>
      </c>
      <c r="N197" s="2627">
        <v>40</v>
      </c>
      <c r="O197" s="2628">
        <v>25</v>
      </c>
      <c r="P197" s="2628">
        <v>30</v>
      </c>
      <c r="Q197" s="2628">
        <v>40</v>
      </c>
      <c r="R197" s="2628">
        <v>15</v>
      </c>
      <c r="S197" s="2629" t="s">
        <v>226</v>
      </c>
      <c r="T197" s="2382">
        <v>120</v>
      </c>
      <c r="U197" s="2383">
        <v>100</v>
      </c>
      <c r="V197" s="2378">
        <v>65</v>
      </c>
      <c r="W197" s="2379">
        <v>80</v>
      </c>
      <c r="X197" s="2378">
        <v>100</v>
      </c>
      <c r="Y197" s="2259">
        <v>40</v>
      </c>
      <c r="Z197" s="2384" t="s">
        <v>226</v>
      </c>
      <c r="AA197" s="2394"/>
      <c r="AB197" s="2394"/>
      <c r="AC197" s="2394"/>
      <c r="AD197" s="2394"/>
      <c r="AE197" s="2394"/>
      <c r="AF197" s="2394"/>
      <c r="AG197" s="2394"/>
      <c r="AH197" s="2394"/>
      <c r="AI197" s="2392"/>
      <c r="AJ197" s="2392"/>
      <c r="AK197" s="2395"/>
      <c r="AL197" s="2396"/>
      <c r="AM197" s="2397"/>
      <c r="AN197" s="2396"/>
      <c r="AO197" s="2397"/>
      <c r="AP197" s="2396"/>
      <c r="AQ197" s="2397"/>
      <c r="BO197" s="2392"/>
    </row>
    <row r="198" spans="1:67" s="2393" customFormat="1" ht="21" customHeight="1">
      <c r="A198" s="2392"/>
      <c r="C198" s="2248" t="s">
        <v>1193</v>
      </c>
      <c r="D198" s="2403"/>
      <c r="E198" s="2400" t="s">
        <v>1194</v>
      </c>
      <c r="F198" s="1842">
        <v>90</v>
      </c>
      <c r="G198" s="1843" t="s">
        <v>1195</v>
      </c>
      <c r="H198" s="1842">
        <v>110</v>
      </c>
      <c r="I198" s="1843" t="s">
        <v>1196</v>
      </c>
      <c r="J198" s="1842">
        <v>135</v>
      </c>
      <c r="K198" s="2290">
        <v>90</v>
      </c>
      <c r="L198" s="2291">
        <v>113</v>
      </c>
      <c r="M198" s="2626">
        <v>45</v>
      </c>
      <c r="N198" s="2627">
        <v>40</v>
      </c>
      <c r="O198" s="2628">
        <v>25</v>
      </c>
      <c r="P198" s="2628">
        <v>30</v>
      </c>
      <c r="Q198" s="2628">
        <v>40</v>
      </c>
      <c r="R198" s="2628">
        <v>15</v>
      </c>
      <c r="S198" s="2629" t="s">
        <v>226</v>
      </c>
      <c r="T198" s="2382">
        <v>120</v>
      </c>
      <c r="U198" s="2383">
        <v>100</v>
      </c>
      <c r="V198" s="2378">
        <v>65</v>
      </c>
      <c r="W198" s="2379">
        <v>80</v>
      </c>
      <c r="X198" s="2378">
        <v>100</v>
      </c>
      <c r="Y198" s="2259">
        <v>40</v>
      </c>
      <c r="Z198" s="2384" t="s">
        <v>226</v>
      </c>
      <c r="AA198" s="2394"/>
      <c r="AB198" s="2394"/>
      <c r="AC198" s="2394"/>
      <c r="AD198" s="2394"/>
      <c r="AE198" s="2394"/>
      <c r="AF198" s="2394"/>
      <c r="AG198" s="2394"/>
      <c r="AH198" s="2394"/>
      <c r="AI198" s="2392"/>
      <c r="AJ198" s="2392"/>
      <c r="AK198" s="2395"/>
      <c r="AL198" s="2396"/>
      <c r="AM198" s="2397"/>
      <c r="AN198" s="2396"/>
      <c r="AO198" s="2397"/>
      <c r="AP198" s="2396"/>
      <c r="AQ198" s="2397"/>
      <c r="BO198" s="2392"/>
    </row>
    <row r="199" spans="1:67" s="2393" customFormat="1" ht="21" customHeight="1">
      <c r="A199" s="2392"/>
      <c r="C199" s="2248" t="s">
        <v>1197</v>
      </c>
      <c r="D199" s="2403"/>
      <c r="E199" s="2400" t="s">
        <v>1056</v>
      </c>
      <c r="F199" s="1842">
        <v>160</v>
      </c>
      <c r="G199" s="1843" t="s">
        <v>1080</v>
      </c>
      <c r="H199" s="1842">
        <v>190</v>
      </c>
      <c r="I199" s="1843" t="s">
        <v>1098</v>
      </c>
      <c r="J199" s="1842">
        <v>230</v>
      </c>
      <c r="K199" s="2290">
        <v>150</v>
      </c>
      <c r="L199" s="2291">
        <v>188</v>
      </c>
      <c r="M199" s="2626">
        <v>30</v>
      </c>
      <c r="N199" s="2627">
        <v>25</v>
      </c>
      <c r="O199" s="2628">
        <v>15</v>
      </c>
      <c r="P199" s="2628">
        <v>20</v>
      </c>
      <c r="Q199" s="2628">
        <v>25</v>
      </c>
      <c r="R199" s="2628">
        <v>10</v>
      </c>
      <c r="S199" s="2629" t="s">
        <v>226</v>
      </c>
      <c r="T199" s="2382">
        <v>210</v>
      </c>
      <c r="U199" s="2383">
        <v>175</v>
      </c>
      <c r="V199" s="2378">
        <v>110</v>
      </c>
      <c r="W199" s="2379">
        <v>140</v>
      </c>
      <c r="X199" s="2378">
        <v>175</v>
      </c>
      <c r="Y199" s="2259">
        <v>70</v>
      </c>
      <c r="Z199" s="2384" t="s">
        <v>226</v>
      </c>
      <c r="AA199" s="2394"/>
      <c r="AB199" s="2394"/>
      <c r="AC199" s="2394"/>
      <c r="AD199" s="2394"/>
      <c r="AE199" s="2394"/>
      <c r="AF199" s="2394"/>
      <c r="AG199" s="2394"/>
      <c r="AH199" s="2394"/>
      <c r="AI199" s="2392"/>
      <c r="AJ199" s="2392"/>
      <c r="AK199" s="2395"/>
      <c r="AL199" s="2396"/>
      <c r="AM199" s="2397"/>
      <c r="AN199" s="2396"/>
      <c r="AO199" s="2397"/>
      <c r="AP199" s="2396"/>
      <c r="AQ199" s="2397"/>
      <c r="BO199" s="2392"/>
    </row>
    <row r="200" spans="1:67" s="2393" customFormat="1" ht="21" customHeight="1">
      <c r="A200" s="2392"/>
      <c r="C200" s="2248" t="s">
        <v>1198</v>
      </c>
      <c r="D200" s="2403"/>
      <c r="E200" s="2400" t="s">
        <v>1184</v>
      </c>
      <c r="F200" s="1842">
        <v>170</v>
      </c>
      <c r="G200" s="1843" t="s">
        <v>1059</v>
      </c>
      <c r="H200" s="1842">
        <v>200</v>
      </c>
      <c r="I200" s="1843" t="s">
        <v>1060</v>
      </c>
      <c r="J200" s="1842">
        <v>240</v>
      </c>
      <c r="K200" s="2290">
        <v>160</v>
      </c>
      <c r="L200" s="2291">
        <v>200</v>
      </c>
      <c r="M200" s="2626">
        <v>90</v>
      </c>
      <c r="N200" s="2627">
        <v>75</v>
      </c>
      <c r="O200" s="2628">
        <v>50</v>
      </c>
      <c r="P200" s="2628">
        <v>60</v>
      </c>
      <c r="Q200" s="2628">
        <v>75</v>
      </c>
      <c r="R200" s="2628">
        <v>30</v>
      </c>
      <c r="S200" s="2629" t="s">
        <v>226</v>
      </c>
      <c r="T200" s="2382">
        <v>270</v>
      </c>
      <c r="U200" s="2383">
        <v>225</v>
      </c>
      <c r="V200" s="2378">
        <v>145</v>
      </c>
      <c r="W200" s="2379">
        <v>180</v>
      </c>
      <c r="X200" s="2378">
        <v>225</v>
      </c>
      <c r="Y200" s="2259">
        <v>90</v>
      </c>
      <c r="Z200" s="2384" t="s">
        <v>226</v>
      </c>
      <c r="AA200" s="2394"/>
      <c r="AB200" s="2394"/>
      <c r="AC200" s="2394"/>
      <c r="AD200" s="2394"/>
      <c r="AE200" s="2394"/>
      <c r="AF200" s="2394"/>
      <c r="AG200" s="2394"/>
      <c r="AH200" s="2394"/>
      <c r="AI200" s="2392"/>
      <c r="AJ200" s="2392"/>
      <c r="AK200" s="2395"/>
      <c r="AL200" s="2396"/>
      <c r="AM200" s="2397"/>
      <c r="AN200" s="2396"/>
      <c r="AO200" s="2397"/>
      <c r="AP200" s="2396"/>
      <c r="AQ200" s="2397"/>
      <c r="BO200" s="2392"/>
    </row>
    <row r="201" spans="1:67" s="2393" customFormat="1" ht="21" customHeight="1">
      <c r="A201" s="2392"/>
      <c r="C201" s="2248" t="s">
        <v>1199</v>
      </c>
      <c r="D201" s="2403"/>
      <c r="E201" s="2400" t="s">
        <v>1023</v>
      </c>
      <c r="F201" s="1842">
        <v>240</v>
      </c>
      <c r="G201" s="1843" t="s">
        <v>1024</v>
      </c>
      <c r="H201" s="1842">
        <v>290</v>
      </c>
      <c r="I201" s="1843" t="s">
        <v>1174</v>
      </c>
      <c r="J201" s="1842">
        <v>355</v>
      </c>
      <c r="K201" s="2290">
        <v>250</v>
      </c>
      <c r="L201" s="2291">
        <v>313</v>
      </c>
      <c r="M201" s="2626">
        <v>75</v>
      </c>
      <c r="N201" s="2627">
        <v>65</v>
      </c>
      <c r="O201" s="2628">
        <v>40</v>
      </c>
      <c r="P201" s="2628">
        <v>50</v>
      </c>
      <c r="Q201" s="2628">
        <v>65</v>
      </c>
      <c r="R201" s="2628">
        <v>25</v>
      </c>
      <c r="S201" s="2629" t="s">
        <v>226</v>
      </c>
      <c r="T201" s="2382">
        <v>270</v>
      </c>
      <c r="U201" s="2383">
        <v>225</v>
      </c>
      <c r="V201" s="2378">
        <v>145</v>
      </c>
      <c r="W201" s="2379">
        <v>180</v>
      </c>
      <c r="X201" s="2378">
        <v>225</v>
      </c>
      <c r="Y201" s="2259">
        <v>90</v>
      </c>
      <c r="Z201" s="2384" t="s">
        <v>226</v>
      </c>
      <c r="AA201" s="2394"/>
      <c r="AB201" s="2394"/>
      <c r="AC201" s="2394"/>
      <c r="AD201" s="2394"/>
      <c r="AE201" s="2394"/>
      <c r="AF201" s="2394"/>
      <c r="AG201" s="2394"/>
      <c r="AH201" s="2394"/>
      <c r="AI201" s="2392"/>
      <c r="AJ201" s="2392"/>
      <c r="AK201" s="2395"/>
      <c r="AL201" s="2396"/>
      <c r="AM201" s="2397"/>
      <c r="AN201" s="2396"/>
      <c r="AO201" s="2397"/>
      <c r="AP201" s="2396"/>
      <c r="AQ201" s="2397"/>
      <c r="BO201" s="2392"/>
    </row>
    <row r="202" spans="1:67" s="2393" customFormat="1" ht="21" customHeight="1">
      <c r="A202" s="2392"/>
      <c r="C202" s="2248" t="s">
        <v>1200</v>
      </c>
      <c r="D202" s="2403"/>
      <c r="E202" s="2400" t="s">
        <v>1023</v>
      </c>
      <c r="F202" s="1842">
        <v>200</v>
      </c>
      <c r="G202" s="1843" t="s">
        <v>1024</v>
      </c>
      <c r="H202" s="1842">
        <v>240</v>
      </c>
      <c r="I202" s="1843" t="s">
        <v>1174</v>
      </c>
      <c r="J202" s="1842">
        <v>290</v>
      </c>
      <c r="K202" s="2290">
        <v>240</v>
      </c>
      <c r="L202" s="2291">
        <v>300</v>
      </c>
      <c r="M202" s="2626">
        <v>60</v>
      </c>
      <c r="N202" s="2627">
        <v>50</v>
      </c>
      <c r="O202" s="2628">
        <v>30</v>
      </c>
      <c r="P202" s="2628">
        <v>40</v>
      </c>
      <c r="Q202" s="2628">
        <v>50</v>
      </c>
      <c r="R202" s="2628">
        <v>20</v>
      </c>
      <c r="S202" s="2629" t="s">
        <v>226</v>
      </c>
      <c r="T202" s="2382">
        <v>210</v>
      </c>
      <c r="U202" s="2383">
        <v>175</v>
      </c>
      <c r="V202" s="2378">
        <v>110</v>
      </c>
      <c r="W202" s="2379">
        <v>140</v>
      </c>
      <c r="X202" s="2378">
        <v>175</v>
      </c>
      <c r="Y202" s="2259">
        <v>70</v>
      </c>
      <c r="Z202" s="2384" t="s">
        <v>226</v>
      </c>
      <c r="AA202" s="2394"/>
      <c r="AB202" s="2394"/>
      <c r="AC202" s="2394"/>
      <c r="AD202" s="2394"/>
      <c r="AE202" s="2394"/>
      <c r="AF202" s="2394"/>
      <c r="AG202" s="2394"/>
      <c r="AH202" s="2394"/>
      <c r="AI202" s="2392"/>
      <c r="AJ202" s="2392"/>
      <c r="AK202" s="2395"/>
      <c r="AL202" s="2396"/>
      <c r="AM202" s="2397"/>
      <c r="AN202" s="2396"/>
      <c r="AO202" s="2397"/>
      <c r="AP202" s="2396"/>
      <c r="AQ202" s="2397"/>
      <c r="BO202" s="2392"/>
    </row>
    <row r="203" spans="1:67" s="2393" customFormat="1" ht="21" customHeight="1">
      <c r="A203" s="2392"/>
      <c r="C203" s="2248" t="s">
        <v>1201</v>
      </c>
      <c r="D203" s="2403"/>
      <c r="E203" s="2400" t="s">
        <v>1056</v>
      </c>
      <c r="F203" s="1842">
        <v>170</v>
      </c>
      <c r="G203" s="1843" t="s">
        <v>1057</v>
      </c>
      <c r="H203" s="1842">
        <v>200</v>
      </c>
      <c r="I203" s="1843" t="s">
        <v>1161</v>
      </c>
      <c r="J203" s="1842">
        <v>240</v>
      </c>
      <c r="K203" s="2290">
        <v>160</v>
      </c>
      <c r="L203" s="2291">
        <v>200</v>
      </c>
      <c r="M203" s="2626">
        <v>60</v>
      </c>
      <c r="N203" s="2627">
        <v>50</v>
      </c>
      <c r="O203" s="2628">
        <v>30</v>
      </c>
      <c r="P203" s="2628">
        <v>40</v>
      </c>
      <c r="Q203" s="2628">
        <v>50</v>
      </c>
      <c r="R203" s="2628">
        <v>20</v>
      </c>
      <c r="S203" s="2629" t="s">
        <v>226</v>
      </c>
      <c r="T203" s="2382">
        <v>210</v>
      </c>
      <c r="U203" s="2383">
        <v>175</v>
      </c>
      <c r="V203" s="2378">
        <v>110</v>
      </c>
      <c r="W203" s="2379">
        <v>140</v>
      </c>
      <c r="X203" s="2378">
        <v>175</v>
      </c>
      <c r="Y203" s="2259">
        <v>70</v>
      </c>
      <c r="Z203" s="2384" t="s">
        <v>226</v>
      </c>
      <c r="AA203" s="2394"/>
      <c r="AB203" s="2394"/>
      <c r="AC203" s="2394"/>
      <c r="AD203" s="2394"/>
      <c r="AE203" s="2394"/>
      <c r="AF203" s="2394"/>
      <c r="AG203" s="2394"/>
      <c r="AH203" s="2394"/>
      <c r="AI203" s="2392"/>
      <c r="AJ203" s="2392"/>
      <c r="AK203" s="2395"/>
      <c r="AL203" s="2396"/>
      <c r="AM203" s="2397"/>
      <c r="AN203" s="2396"/>
      <c r="AO203" s="2397"/>
      <c r="AP203" s="2396"/>
      <c r="AQ203" s="2397"/>
      <c r="BO203" s="2392"/>
    </row>
    <row r="204" spans="1:67" s="2393" customFormat="1" ht="21" customHeight="1">
      <c r="A204" s="2392"/>
      <c r="C204" s="2248" t="s">
        <v>1202</v>
      </c>
      <c r="D204" s="2403"/>
      <c r="E204" s="2400" t="s">
        <v>1066</v>
      </c>
      <c r="F204" s="1842">
        <v>170</v>
      </c>
      <c r="G204" s="1843" t="s">
        <v>1917</v>
      </c>
      <c r="H204" s="1842">
        <v>200</v>
      </c>
      <c r="I204" s="1843" t="s">
        <v>1169</v>
      </c>
      <c r="J204" s="1842">
        <v>235</v>
      </c>
      <c r="K204" s="2290">
        <v>160</v>
      </c>
      <c r="L204" s="2291">
        <v>200</v>
      </c>
      <c r="M204" s="2626">
        <v>60</v>
      </c>
      <c r="N204" s="2627">
        <v>50</v>
      </c>
      <c r="O204" s="2628">
        <v>30</v>
      </c>
      <c r="P204" s="2628">
        <v>40</v>
      </c>
      <c r="Q204" s="2628">
        <v>50</v>
      </c>
      <c r="R204" s="2628">
        <v>20</v>
      </c>
      <c r="S204" s="2629" t="s">
        <v>226</v>
      </c>
      <c r="T204" s="2382">
        <v>210</v>
      </c>
      <c r="U204" s="2383">
        <v>175</v>
      </c>
      <c r="V204" s="2378">
        <v>110</v>
      </c>
      <c r="W204" s="2379">
        <v>140</v>
      </c>
      <c r="X204" s="2378">
        <v>175</v>
      </c>
      <c r="Y204" s="2259">
        <v>70</v>
      </c>
      <c r="Z204" s="2384" t="s">
        <v>226</v>
      </c>
      <c r="AA204" s="2394"/>
      <c r="AB204" s="2394"/>
      <c r="AC204" s="2394"/>
      <c r="AD204" s="2394"/>
      <c r="AE204" s="2394"/>
      <c r="AF204" s="2394"/>
      <c r="AG204" s="2394"/>
      <c r="AH204" s="2394"/>
      <c r="AI204" s="2392"/>
      <c r="AJ204" s="2392"/>
      <c r="AK204" s="2395"/>
      <c r="AL204" s="2396"/>
      <c r="AM204" s="2397"/>
      <c r="AN204" s="2396"/>
      <c r="AO204" s="2397"/>
      <c r="AP204" s="2396"/>
      <c r="AQ204" s="2397"/>
      <c r="BO204" s="2392"/>
    </row>
    <row r="205" spans="1:67" s="2393" customFormat="1" ht="21" customHeight="1">
      <c r="A205" s="2392"/>
      <c r="C205" s="2248" t="s">
        <v>1203</v>
      </c>
      <c r="D205" s="2403"/>
      <c r="E205" s="2400" t="s">
        <v>1154</v>
      </c>
      <c r="F205" s="1842">
        <v>210</v>
      </c>
      <c r="G205" s="1843" t="s">
        <v>1155</v>
      </c>
      <c r="H205" s="1842">
        <v>250</v>
      </c>
      <c r="I205" s="1843" t="s">
        <v>1156</v>
      </c>
      <c r="J205" s="1842">
        <v>305</v>
      </c>
      <c r="K205" s="2290">
        <v>210</v>
      </c>
      <c r="L205" s="2291">
        <v>263</v>
      </c>
      <c r="M205" s="2626">
        <v>90</v>
      </c>
      <c r="N205" s="2627">
        <v>75</v>
      </c>
      <c r="O205" s="2628">
        <v>50</v>
      </c>
      <c r="P205" s="2628">
        <v>60</v>
      </c>
      <c r="Q205" s="2628">
        <v>75</v>
      </c>
      <c r="R205" s="2628">
        <v>30</v>
      </c>
      <c r="S205" s="2629" t="s">
        <v>226</v>
      </c>
      <c r="T205" s="2382">
        <v>315</v>
      </c>
      <c r="U205" s="2383">
        <v>265</v>
      </c>
      <c r="V205" s="2378">
        <v>170</v>
      </c>
      <c r="W205" s="2379">
        <v>210</v>
      </c>
      <c r="X205" s="2378">
        <v>265</v>
      </c>
      <c r="Y205" s="2259">
        <v>105</v>
      </c>
      <c r="Z205" s="2384" t="s">
        <v>226</v>
      </c>
      <c r="AA205" s="2394"/>
      <c r="AB205" s="2394"/>
      <c r="AC205" s="2394"/>
      <c r="AD205" s="2394"/>
      <c r="AE205" s="2394"/>
      <c r="AF205" s="2394"/>
      <c r="AG205" s="2394"/>
      <c r="AH205" s="2394"/>
      <c r="AI205" s="2392"/>
      <c r="AJ205" s="2392"/>
      <c r="AK205" s="2395"/>
      <c r="AL205" s="2396"/>
      <c r="AM205" s="2397"/>
      <c r="AN205" s="2396"/>
      <c r="AO205" s="2397"/>
      <c r="AP205" s="2396"/>
      <c r="AQ205" s="2397"/>
      <c r="BO205" s="2392"/>
    </row>
    <row r="206" spans="1:67" s="2393" customFormat="1" ht="21" customHeight="1">
      <c r="A206" s="2392"/>
      <c r="C206" s="2248" t="s">
        <v>1204</v>
      </c>
      <c r="D206" s="2403"/>
      <c r="E206" s="2400" t="s">
        <v>1056</v>
      </c>
      <c r="F206" s="1842">
        <v>180</v>
      </c>
      <c r="G206" s="1843" t="s">
        <v>1057</v>
      </c>
      <c r="H206" s="1842">
        <v>210</v>
      </c>
      <c r="I206" s="1843" t="s">
        <v>1161</v>
      </c>
      <c r="J206" s="1842">
        <v>250</v>
      </c>
      <c r="K206" s="2290">
        <v>150</v>
      </c>
      <c r="L206" s="2291">
        <v>188</v>
      </c>
      <c r="M206" s="2626">
        <v>55</v>
      </c>
      <c r="N206" s="2627">
        <v>45</v>
      </c>
      <c r="O206" s="2628">
        <v>30</v>
      </c>
      <c r="P206" s="2628">
        <v>35</v>
      </c>
      <c r="Q206" s="2628">
        <v>45</v>
      </c>
      <c r="R206" s="2628">
        <v>20</v>
      </c>
      <c r="S206" s="2629" t="s">
        <v>226</v>
      </c>
      <c r="T206" s="2382">
        <v>210</v>
      </c>
      <c r="U206" s="2383">
        <v>175</v>
      </c>
      <c r="V206" s="2378">
        <v>110</v>
      </c>
      <c r="W206" s="2379">
        <v>140</v>
      </c>
      <c r="X206" s="2378">
        <v>175</v>
      </c>
      <c r="Y206" s="2259">
        <v>70</v>
      </c>
      <c r="Z206" s="2384" t="s">
        <v>226</v>
      </c>
      <c r="AA206" s="2394"/>
      <c r="AB206" s="2394"/>
      <c r="AC206" s="2394"/>
      <c r="AD206" s="2394"/>
      <c r="AE206" s="2394"/>
      <c r="AF206" s="2394"/>
      <c r="AG206" s="2394"/>
      <c r="AH206" s="2394"/>
      <c r="AI206" s="2392"/>
      <c r="AJ206" s="2392"/>
      <c r="AK206" s="2395"/>
      <c r="AL206" s="2396"/>
      <c r="AM206" s="2397"/>
      <c r="AN206" s="2396"/>
      <c r="AO206" s="2397"/>
      <c r="AP206" s="2396"/>
      <c r="AQ206" s="2397"/>
      <c r="BO206" s="2392"/>
    </row>
    <row r="207" spans="1:67" s="2393" customFormat="1" ht="21" customHeight="1">
      <c r="A207" s="2392"/>
      <c r="C207" s="2248" t="s">
        <v>1205</v>
      </c>
      <c r="D207" s="2403"/>
      <c r="E207" s="2400" t="s">
        <v>1165</v>
      </c>
      <c r="F207" s="1842">
        <v>120</v>
      </c>
      <c r="G207" s="1843" t="s">
        <v>1168</v>
      </c>
      <c r="H207" s="1842">
        <v>140</v>
      </c>
      <c r="I207" s="1843" t="s">
        <v>1169</v>
      </c>
      <c r="J207" s="1842">
        <v>165</v>
      </c>
      <c r="K207" s="2290">
        <v>100</v>
      </c>
      <c r="L207" s="2291">
        <v>125</v>
      </c>
      <c r="M207" s="2626">
        <v>45</v>
      </c>
      <c r="N207" s="2627">
        <v>40</v>
      </c>
      <c r="O207" s="2628">
        <v>25</v>
      </c>
      <c r="P207" s="2628">
        <v>30</v>
      </c>
      <c r="Q207" s="2628">
        <v>40</v>
      </c>
      <c r="R207" s="2628">
        <v>15</v>
      </c>
      <c r="S207" s="2629" t="s">
        <v>226</v>
      </c>
      <c r="T207" s="2382">
        <v>210</v>
      </c>
      <c r="U207" s="2383">
        <v>175</v>
      </c>
      <c r="V207" s="2378">
        <v>110</v>
      </c>
      <c r="W207" s="2379">
        <v>140</v>
      </c>
      <c r="X207" s="2378">
        <v>175</v>
      </c>
      <c r="Y207" s="2259">
        <v>70</v>
      </c>
      <c r="Z207" s="2384" t="s">
        <v>226</v>
      </c>
      <c r="AA207" s="2394"/>
      <c r="AB207" s="2394"/>
      <c r="AC207" s="2394"/>
      <c r="AD207" s="2394"/>
      <c r="AE207" s="2394"/>
      <c r="AF207" s="2394"/>
      <c r="AG207" s="2394"/>
      <c r="AH207" s="2394"/>
      <c r="AI207" s="2392"/>
      <c r="AJ207" s="2392"/>
      <c r="AK207" s="2395"/>
      <c r="AL207" s="2396"/>
      <c r="AM207" s="2397"/>
      <c r="AN207" s="2396"/>
      <c r="AO207" s="2397"/>
      <c r="AP207" s="2396"/>
      <c r="AQ207" s="2397"/>
      <c r="BO207" s="2392"/>
    </row>
    <row r="208" spans="1:67" s="2393" customFormat="1" ht="21" customHeight="1">
      <c r="A208" s="2392"/>
      <c r="C208" s="2248" t="s">
        <v>1206</v>
      </c>
      <c r="D208" s="2403"/>
      <c r="E208" s="2400" t="s">
        <v>1165</v>
      </c>
      <c r="F208" s="1842">
        <v>120</v>
      </c>
      <c r="G208" s="1843" t="s">
        <v>1168</v>
      </c>
      <c r="H208" s="1842">
        <v>140</v>
      </c>
      <c r="I208" s="1843" t="s">
        <v>1169</v>
      </c>
      <c r="J208" s="1842">
        <v>165</v>
      </c>
      <c r="K208" s="2290">
        <v>100</v>
      </c>
      <c r="L208" s="2291">
        <v>125</v>
      </c>
      <c r="M208" s="2626">
        <v>45</v>
      </c>
      <c r="N208" s="2627">
        <v>40</v>
      </c>
      <c r="O208" s="2628">
        <v>25</v>
      </c>
      <c r="P208" s="2628">
        <v>30</v>
      </c>
      <c r="Q208" s="2628">
        <v>40</v>
      </c>
      <c r="R208" s="2628">
        <v>15</v>
      </c>
      <c r="S208" s="2629" t="s">
        <v>226</v>
      </c>
      <c r="T208" s="2382">
        <v>210</v>
      </c>
      <c r="U208" s="2383">
        <v>175</v>
      </c>
      <c r="V208" s="2378">
        <v>110</v>
      </c>
      <c r="W208" s="2379">
        <v>140</v>
      </c>
      <c r="X208" s="2378">
        <v>175</v>
      </c>
      <c r="Y208" s="2259">
        <v>70</v>
      </c>
      <c r="Z208" s="2384" t="s">
        <v>226</v>
      </c>
      <c r="AA208" s="2394"/>
      <c r="AB208" s="2394"/>
      <c r="AC208" s="2394"/>
      <c r="AD208" s="2394"/>
      <c r="AE208" s="2394"/>
      <c r="AF208" s="2394"/>
      <c r="AG208" s="2394"/>
      <c r="AH208" s="2394"/>
      <c r="AI208" s="2392"/>
      <c r="AJ208" s="2392"/>
      <c r="AK208" s="2395"/>
      <c r="AL208" s="2396"/>
      <c r="AM208" s="2397"/>
      <c r="AN208" s="2396"/>
      <c r="AO208" s="2397"/>
      <c r="AP208" s="2396"/>
      <c r="AQ208" s="2397"/>
      <c r="BO208" s="2392"/>
    </row>
    <row r="209" spans="1:67" s="2393" customFormat="1" ht="21" customHeight="1">
      <c r="A209" s="2392"/>
      <c r="C209" s="2248" t="s">
        <v>1207</v>
      </c>
      <c r="D209" s="2403"/>
      <c r="E209" s="2400" t="s">
        <v>1056</v>
      </c>
      <c r="F209" s="1842">
        <v>140</v>
      </c>
      <c r="G209" s="1843" t="s">
        <v>1057</v>
      </c>
      <c r="H209" s="1842">
        <v>160</v>
      </c>
      <c r="I209" s="1843" t="s">
        <v>1161</v>
      </c>
      <c r="J209" s="1842">
        <v>185</v>
      </c>
      <c r="K209" s="2290">
        <v>100</v>
      </c>
      <c r="L209" s="2291">
        <v>125</v>
      </c>
      <c r="M209" s="2626">
        <v>45</v>
      </c>
      <c r="N209" s="2627">
        <v>40</v>
      </c>
      <c r="O209" s="2628">
        <v>25</v>
      </c>
      <c r="P209" s="2628">
        <v>30</v>
      </c>
      <c r="Q209" s="2628">
        <v>40</v>
      </c>
      <c r="R209" s="2628">
        <v>15</v>
      </c>
      <c r="S209" s="2629" t="s">
        <v>226</v>
      </c>
      <c r="T209" s="2382">
        <v>210</v>
      </c>
      <c r="U209" s="2383">
        <v>175</v>
      </c>
      <c r="V209" s="2378">
        <v>110</v>
      </c>
      <c r="W209" s="2379">
        <v>140</v>
      </c>
      <c r="X209" s="2378">
        <v>175</v>
      </c>
      <c r="Y209" s="2259">
        <v>70</v>
      </c>
      <c r="Z209" s="2384" t="s">
        <v>226</v>
      </c>
      <c r="AA209" s="2394"/>
      <c r="AB209" s="2394"/>
      <c r="AC209" s="2394"/>
      <c r="AD209" s="2394"/>
      <c r="AE209" s="2394"/>
      <c r="AF209" s="2394"/>
      <c r="AG209" s="2394"/>
      <c r="AH209" s="2394"/>
      <c r="AI209" s="2392"/>
      <c r="AJ209" s="2392"/>
      <c r="AK209" s="2395"/>
      <c r="AL209" s="2396"/>
      <c r="AM209" s="2397"/>
      <c r="AN209" s="2396"/>
      <c r="AO209" s="2397"/>
      <c r="AP209" s="2396"/>
      <c r="AQ209" s="2397"/>
      <c r="BO209" s="2392"/>
    </row>
    <row r="210" spans="1:67" s="2393" customFormat="1" ht="21" customHeight="1">
      <c r="A210" s="2392"/>
      <c r="C210" s="2248" t="s">
        <v>1208</v>
      </c>
      <c r="D210" s="2403"/>
      <c r="E210" s="2400" t="s">
        <v>1056</v>
      </c>
      <c r="F210" s="1842">
        <v>220</v>
      </c>
      <c r="G210" s="1843" t="s">
        <v>1057</v>
      </c>
      <c r="H210" s="1842">
        <v>260</v>
      </c>
      <c r="I210" s="1843" t="s">
        <v>1161</v>
      </c>
      <c r="J210" s="1842">
        <v>310</v>
      </c>
      <c r="K210" s="2290">
        <v>200</v>
      </c>
      <c r="L210" s="2291">
        <v>250</v>
      </c>
      <c r="M210" s="2626">
        <v>60</v>
      </c>
      <c r="N210" s="2627">
        <v>50</v>
      </c>
      <c r="O210" s="2628">
        <v>30</v>
      </c>
      <c r="P210" s="2628">
        <v>40</v>
      </c>
      <c r="Q210" s="2628">
        <v>50</v>
      </c>
      <c r="R210" s="2628">
        <v>20</v>
      </c>
      <c r="S210" s="2629" t="s">
        <v>226</v>
      </c>
      <c r="T210" s="2382">
        <v>220</v>
      </c>
      <c r="U210" s="2383">
        <v>180</v>
      </c>
      <c r="V210" s="2378">
        <v>115</v>
      </c>
      <c r="W210" s="2379">
        <v>145</v>
      </c>
      <c r="X210" s="2378">
        <v>180</v>
      </c>
      <c r="Y210" s="2259">
        <v>72.5</v>
      </c>
      <c r="Z210" s="2384" t="s">
        <v>226</v>
      </c>
      <c r="AA210" s="2394"/>
      <c r="AB210" s="2394"/>
      <c r="AC210" s="2394"/>
      <c r="AD210" s="2394"/>
      <c r="AE210" s="2394"/>
      <c r="AF210" s="2394"/>
      <c r="AG210" s="2394"/>
      <c r="AH210" s="2394"/>
      <c r="AI210" s="2392"/>
      <c r="AJ210" s="2392"/>
      <c r="AK210" s="2395"/>
      <c r="AL210" s="2396"/>
      <c r="AM210" s="2397"/>
      <c r="AN210" s="2396"/>
      <c r="AO210" s="2397"/>
      <c r="AP210" s="2396"/>
      <c r="AQ210" s="2397"/>
      <c r="BO210" s="2392"/>
    </row>
    <row r="211" spans="1:67" s="2393" customFormat="1" ht="21" customHeight="1">
      <c r="A211" s="2392"/>
      <c r="C211" s="2248" t="s">
        <v>1209</v>
      </c>
      <c r="D211" s="2403"/>
      <c r="E211" s="2400" t="s">
        <v>1210</v>
      </c>
      <c r="F211" s="1842">
        <v>240</v>
      </c>
      <c r="G211" s="1843" t="s">
        <v>1211</v>
      </c>
      <c r="H211" s="1842">
        <v>290</v>
      </c>
      <c r="I211" s="1843" t="s">
        <v>1212</v>
      </c>
      <c r="J211" s="1842">
        <v>355</v>
      </c>
      <c r="K211" s="2385" t="s">
        <v>1086</v>
      </c>
      <c r="L211" s="2291"/>
      <c r="M211" s="2626">
        <v>90</v>
      </c>
      <c r="N211" s="2627">
        <v>75</v>
      </c>
      <c r="O211" s="2628">
        <v>50</v>
      </c>
      <c r="P211" s="2628">
        <v>60</v>
      </c>
      <c r="Q211" s="2628">
        <v>75</v>
      </c>
      <c r="R211" s="2628">
        <v>30</v>
      </c>
      <c r="S211" s="2629" t="s">
        <v>226</v>
      </c>
      <c r="T211" s="2382">
        <v>375</v>
      </c>
      <c r="U211" s="2383">
        <v>315</v>
      </c>
      <c r="V211" s="2378">
        <v>200</v>
      </c>
      <c r="W211" s="2379">
        <v>250</v>
      </c>
      <c r="X211" s="2378">
        <v>315</v>
      </c>
      <c r="Y211" s="2259">
        <v>125</v>
      </c>
      <c r="Z211" s="2384" t="s">
        <v>226</v>
      </c>
      <c r="AA211" s="2394"/>
      <c r="AB211" s="2394"/>
      <c r="AC211" s="2394"/>
      <c r="AD211" s="2394"/>
      <c r="AE211" s="2394"/>
      <c r="AF211" s="2394"/>
      <c r="AG211" s="2394"/>
      <c r="AH211" s="2394"/>
      <c r="AI211" s="2392"/>
      <c r="AJ211" s="2392"/>
      <c r="AK211" s="2395"/>
      <c r="AL211" s="2396"/>
      <c r="AM211" s="2397"/>
      <c r="AN211" s="2396"/>
      <c r="AO211" s="2397"/>
      <c r="AP211" s="2396"/>
      <c r="AQ211" s="2397"/>
      <c r="BO211" s="2392"/>
    </row>
    <row r="212" spans="1:67" s="2393" customFormat="1" ht="21" customHeight="1">
      <c r="A212" s="2392"/>
      <c r="C212" s="2248" t="s">
        <v>1213</v>
      </c>
      <c r="D212" s="2403"/>
      <c r="E212" s="2400" t="s">
        <v>1918</v>
      </c>
      <c r="F212" s="1842">
        <v>295</v>
      </c>
      <c r="G212" s="1843" t="s">
        <v>1887</v>
      </c>
      <c r="H212" s="1842">
        <v>360</v>
      </c>
      <c r="I212" s="1843" t="s">
        <v>1188</v>
      </c>
      <c r="J212" s="1842">
        <v>440</v>
      </c>
      <c r="K212" s="2290">
        <v>320</v>
      </c>
      <c r="L212" s="2291">
        <v>400</v>
      </c>
      <c r="M212" s="2626">
        <v>105</v>
      </c>
      <c r="N212" s="2627">
        <v>90</v>
      </c>
      <c r="O212" s="2628">
        <v>55</v>
      </c>
      <c r="P212" s="2628">
        <v>70</v>
      </c>
      <c r="Q212" s="2628">
        <v>90</v>
      </c>
      <c r="R212" s="2628">
        <v>35</v>
      </c>
      <c r="S212" s="2629" t="s">
        <v>226</v>
      </c>
      <c r="T212" s="2382">
        <v>430</v>
      </c>
      <c r="U212" s="2383">
        <v>360</v>
      </c>
      <c r="V212" s="2378">
        <v>230</v>
      </c>
      <c r="W212" s="2379">
        <v>285</v>
      </c>
      <c r="X212" s="2378">
        <v>355</v>
      </c>
      <c r="Y212" s="2259">
        <v>145</v>
      </c>
      <c r="Z212" s="2384" t="s">
        <v>226</v>
      </c>
      <c r="AA212" s="2394"/>
      <c r="AB212" s="2394"/>
      <c r="AC212" s="2394"/>
      <c r="AD212" s="2394"/>
      <c r="AE212" s="2394"/>
      <c r="AF212" s="2394"/>
      <c r="AG212" s="2394"/>
      <c r="AH212" s="2394"/>
      <c r="AI212" s="2392"/>
      <c r="AJ212" s="2392"/>
      <c r="AK212" s="2395"/>
      <c r="AL212" s="2396"/>
      <c r="AM212" s="2397"/>
      <c r="AN212" s="2396"/>
      <c r="AO212" s="2397"/>
      <c r="AP212" s="2396"/>
      <c r="AQ212" s="2397"/>
      <c r="BO212" s="2392"/>
    </row>
    <row r="213" spans="1:67" s="2393" customFormat="1" ht="21" customHeight="1">
      <c r="A213" s="2392"/>
      <c r="C213" s="2248" t="s">
        <v>1217</v>
      </c>
      <c r="D213" s="2403"/>
      <c r="E213" s="2400" t="s">
        <v>1214</v>
      </c>
      <c r="F213" s="1842">
        <v>310</v>
      </c>
      <c r="G213" s="1843" t="s">
        <v>1215</v>
      </c>
      <c r="H213" s="1842">
        <v>380</v>
      </c>
      <c r="I213" s="1843" t="s">
        <v>1216</v>
      </c>
      <c r="J213" s="1842">
        <v>465</v>
      </c>
      <c r="K213" s="2290">
        <v>320</v>
      </c>
      <c r="L213" s="2291">
        <v>400</v>
      </c>
      <c r="M213" s="2626">
        <v>120</v>
      </c>
      <c r="N213" s="2627">
        <v>100</v>
      </c>
      <c r="O213" s="2628">
        <v>65</v>
      </c>
      <c r="P213" s="2628">
        <v>80</v>
      </c>
      <c r="Q213" s="2628">
        <v>100</v>
      </c>
      <c r="R213" s="2628">
        <v>40</v>
      </c>
      <c r="S213" s="2629" t="s">
        <v>226</v>
      </c>
      <c r="T213" s="2382">
        <v>465</v>
      </c>
      <c r="U213" s="2383">
        <v>390</v>
      </c>
      <c r="V213" s="2378">
        <v>250</v>
      </c>
      <c r="W213" s="2379">
        <v>310</v>
      </c>
      <c r="X213" s="2378">
        <v>390</v>
      </c>
      <c r="Y213" s="2259">
        <v>155</v>
      </c>
      <c r="Z213" s="2384" t="s">
        <v>226</v>
      </c>
      <c r="AA213" s="2394"/>
      <c r="AB213" s="2394"/>
      <c r="AC213" s="2394"/>
      <c r="AD213" s="2394"/>
      <c r="AE213" s="2394"/>
      <c r="AF213" s="2394"/>
      <c r="AG213" s="2394"/>
      <c r="AH213" s="2394"/>
      <c r="AI213" s="2392"/>
      <c r="AJ213" s="2392"/>
      <c r="AK213" s="2395"/>
      <c r="AL213" s="2396"/>
      <c r="AM213" s="2397"/>
      <c r="AN213" s="2396"/>
      <c r="AO213" s="2397"/>
      <c r="AP213" s="2396"/>
      <c r="AQ213" s="2397"/>
      <c r="BO213" s="2392"/>
    </row>
    <row r="214" spans="1:67" s="2393" customFormat="1" ht="21" customHeight="1">
      <c r="A214" s="2392"/>
      <c r="C214" s="2248" t="s">
        <v>1218</v>
      </c>
      <c r="D214" s="2403"/>
      <c r="E214" s="2400" t="s">
        <v>1210</v>
      </c>
      <c r="F214" s="1842">
        <v>250</v>
      </c>
      <c r="G214" s="1843" t="s">
        <v>1211</v>
      </c>
      <c r="H214" s="1842">
        <v>305</v>
      </c>
      <c r="I214" s="1843" t="s">
        <v>1212</v>
      </c>
      <c r="J214" s="1842">
        <v>370</v>
      </c>
      <c r="K214" s="2290">
        <v>265</v>
      </c>
      <c r="L214" s="2291">
        <v>331</v>
      </c>
      <c r="M214" s="2626">
        <v>105</v>
      </c>
      <c r="N214" s="2627">
        <v>90</v>
      </c>
      <c r="O214" s="2628">
        <v>55</v>
      </c>
      <c r="P214" s="2628">
        <v>70</v>
      </c>
      <c r="Q214" s="2628">
        <v>90</v>
      </c>
      <c r="R214" s="2628">
        <v>35</v>
      </c>
      <c r="S214" s="2629" t="s">
        <v>226</v>
      </c>
      <c r="T214" s="2382">
        <v>460</v>
      </c>
      <c r="U214" s="2383">
        <v>360</v>
      </c>
      <c r="V214" s="2378">
        <v>230</v>
      </c>
      <c r="W214" s="2379">
        <v>285</v>
      </c>
      <c r="X214" s="2378">
        <v>355</v>
      </c>
      <c r="Y214" s="2259">
        <v>145</v>
      </c>
      <c r="Z214" s="2384" t="s">
        <v>226</v>
      </c>
      <c r="AA214" s="2394"/>
      <c r="AB214" s="2394"/>
      <c r="AC214" s="2394"/>
      <c r="AD214" s="2394"/>
      <c r="AE214" s="2394"/>
      <c r="AF214" s="2394"/>
      <c r="AG214" s="2394"/>
      <c r="AH214" s="2394"/>
      <c r="AI214" s="2392"/>
      <c r="AJ214" s="2392"/>
      <c r="AK214" s="2395"/>
      <c r="AL214" s="2396"/>
      <c r="AM214" s="2397"/>
      <c r="AN214" s="2396"/>
      <c r="AO214" s="2397"/>
      <c r="AP214" s="2396"/>
      <c r="AQ214" s="2397"/>
      <c r="BO214" s="2392"/>
    </row>
    <row r="215" spans="1:67" s="2393" customFormat="1" ht="21" customHeight="1">
      <c r="A215" s="2392"/>
      <c r="C215" s="2248" t="s">
        <v>1219</v>
      </c>
      <c r="D215" s="2403"/>
      <c r="E215" s="2400" t="s">
        <v>1184</v>
      </c>
      <c r="F215" s="1842">
        <v>220</v>
      </c>
      <c r="G215" s="1843" t="s">
        <v>1059</v>
      </c>
      <c r="H215" s="1842">
        <v>260</v>
      </c>
      <c r="I215" s="1843" t="s">
        <v>1060</v>
      </c>
      <c r="J215" s="1842">
        <v>310</v>
      </c>
      <c r="K215" s="2385" t="s">
        <v>1086</v>
      </c>
      <c r="L215" s="2291"/>
      <c r="M215" s="2626">
        <v>75</v>
      </c>
      <c r="N215" s="2627">
        <v>65</v>
      </c>
      <c r="O215" s="2628">
        <v>40</v>
      </c>
      <c r="P215" s="2628">
        <v>50</v>
      </c>
      <c r="Q215" s="2628">
        <v>65</v>
      </c>
      <c r="R215" s="2628">
        <v>25</v>
      </c>
      <c r="S215" s="2629" t="s">
        <v>226</v>
      </c>
      <c r="T215" s="2382">
        <v>285</v>
      </c>
      <c r="U215" s="2383">
        <v>240</v>
      </c>
      <c r="V215" s="2378">
        <v>150</v>
      </c>
      <c r="W215" s="2379">
        <v>190</v>
      </c>
      <c r="X215" s="2378">
        <v>240</v>
      </c>
      <c r="Y215" s="2259">
        <v>95</v>
      </c>
      <c r="Z215" s="2384" t="s">
        <v>226</v>
      </c>
      <c r="AA215" s="2394"/>
      <c r="AB215" s="2394"/>
      <c r="AC215" s="2394"/>
      <c r="AD215" s="2394"/>
      <c r="AE215" s="2394"/>
      <c r="AF215" s="2394"/>
      <c r="AG215" s="2394"/>
      <c r="AH215" s="2394"/>
      <c r="AI215" s="2392"/>
      <c r="AJ215" s="2392"/>
      <c r="AK215" s="2395"/>
      <c r="AL215" s="2396"/>
      <c r="AM215" s="2397"/>
      <c r="AN215" s="2396"/>
      <c r="AO215" s="2397"/>
      <c r="AP215" s="2396"/>
      <c r="AQ215" s="2397"/>
      <c r="BO215" s="2392"/>
    </row>
    <row r="216" spans="1:67" s="2393" customFormat="1" ht="21" customHeight="1">
      <c r="A216" s="2392"/>
      <c r="C216" s="2248" t="s">
        <v>1220</v>
      </c>
      <c r="D216" s="2403"/>
      <c r="E216" s="2400" t="s">
        <v>1145</v>
      </c>
      <c r="F216" s="1842">
        <v>200</v>
      </c>
      <c r="G216" s="1843" t="s">
        <v>1221</v>
      </c>
      <c r="H216" s="1842">
        <v>240</v>
      </c>
      <c r="I216" s="1843" t="s">
        <v>1035</v>
      </c>
      <c r="J216" s="1842">
        <v>290</v>
      </c>
      <c r="K216" s="2290">
        <v>200</v>
      </c>
      <c r="L216" s="2291">
        <v>250</v>
      </c>
      <c r="M216" s="2626">
        <v>90</v>
      </c>
      <c r="N216" s="2627">
        <v>75</v>
      </c>
      <c r="O216" s="2628">
        <v>50</v>
      </c>
      <c r="P216" s="2628">
        <v>60</v>
      </c>
      <c r="Q216" s="2628">
        <v>75</v>
      </c>
      <c r="R216" s="2628">
        <v>30</v>
      </c>
      <c r="S216" s="2629" t="s">
        <v>226</v>
      </c>
      <c r="T216" s="2382">
        <v>270</v>
      </c>
      <c r="U216" s="2383">
        <v>225</v>
      </c>
      <c r="V216" s="2378">
        <v>145</v>
      </c>
      <c r="W216" s="2379">
        <v>180</v>
      </c>
      <c r="X216" s="2378">
        <v>225</v>
      </c>
      <c r="Y216" s="2259">
        <v>90</v>
      </c>
      <c r="Z216" s="2384" t="s">
        <v>226</v>
      </c>
      <c r="AA216" s="2394"/>
      <c r="AB216" s="2394"/>
      <c r="AC216" s="2394"/>
      <c r="AD216" s="2394"/>
      <c r="AE216" s="2394"/>
      <c r="AF216" s="2394"/>
      <c r="AG216" s="2394"/>
      <c r="AH216" s="2394"/>
      <c r="AI216" s="2392"/>
      <c r="AJ216" s="2392"/>
      <c r="AK216" s="2395"/>
      <c r="AL216" s="2396"/>
      <c r="AM216" s="2397"/>
      <c r="AN216" s="2396"/>
      <c r="AO216" s="2397"/>
      <c r="AP216" s="2396"/>
      <c r="AQ216" s="2397"/>
      <c r="BO216" s="2392"/>
    </row>
    <row r="217" spans="1:67" s="2393" customFormat="1" ht="21" customHeight="1">
      <c r="A217" s="2392"/>
      <c r="C217" s="2248" t="s">
        <v>1222</v>
      </c>
      <c r="D217" s="2403"/>
      <c r="E217" s="2400" t="s">
        <v>1056</v>
      </c>
      <c r="F217" s="1842">
        <v>120</v>
      </c>
      <c r="G217" s="1843" t="s">
        <v>1080</v>
      </c>
      <c r="H217" s="1842">
        <v>140</v>
      </c>
      <c r="I217" s="1843" t="s">
        <v>1098</v>
      </c>
      <c r="J217" s="1842">
        <v>165</v>
      </c>
      <c r="K217" s="2290">
        <v>100</v>
      </c>
      <c r="L217" s="2291">
        <v>125</v>
      </c>
      <c r="M217" s="2626">
        <v>45</v>
      </c>
      <c r="N217" s="2627">
        <v>40</v>
      </c>
      <c r="O217" s="2628">
        <v>25</v>
      </c>
      <c r="P217" s="2628">
        <v>30</v>
      </c>
      <c r="Q217" s="2628">
        <v>40</v>
      </c>
      <c r="R217" s="2628">
        <v>15</v>
      </c>
      <c r="S217" s="2629" t="s">
        <v>226</v>
      </c>
      <c r="T217" s="2382">
        <v>210</v>
      </c>
      <c r="U217" s="2383">
        <v>175</v>
      </c>
      <c r="V217" s="2378">
        <v>110</v>
      </c>
      <c r="W217" s="2379">
        <v>140</v>
      </c>
      <c r="X217" s="2378">
        <v>175</v>
      </c>
      <c r="Y217" s="2259">
        <v>70</v>
      </c>
      <c r="Z217" s="2384" t="s">
        <v>226</v>
      </c>
      <c r="AA217" s="2394"/>
      <c r="AB217" s="2394"/>
      <c r="AC217" s="2394"/>
      <c r="AD217" s="2394"/>
      <c r="AE217" s="2394"/>
      <c r="AF217" s="2394"/>
      <c r="AG217" s="2394"/>
      <c r="AH217" s="2394"/>
      <c r="AI217" s="2392"/>
      <c r="AJ217" s="2392"/>
      <c r="AK217" s="2395"/>
      <c r="AL217" s="2396"/>
      <c r="AM217" s="2397"/>
      <c r="AN217" s="2396"/>
      <c r="AO217" s="2397"/>
      <c r="AP217" s="2396"/>
      <c r="AQ217" s="2397"/>
      <c r="BO217" s="2392"/>
    </row>
    <row r="218" spans="1:67" s="2393" customFormat="1" ht="21" customHeight="1">
      <c r="A218" s="2392"/>
      <c r="C218" s="2248" t="s">
        <v>1223</v>
      </c>
      <c r="D218" s="2403"/>
      <c r="E218" s="2400" t="s">
        <v>1056</v>
      </c>
      <c r="F218" s="1842">
        <v>120</v>
      </c>
      <c r="G218" s="1843" t="s">
        <v>1080</v>
      </c>
      <c r="H218" s="1842">
        <v>140</v>
      </c>
      <c r="I218" s="1843" t="s">
        <v>1098</v>
      </c>
      <c r="J218" s="1842">
        <v>165</v>
      </c>
      <c r="K218" s="2290">
        <v>100</v>
      </c>
      <c r="L218" s="2291">
        <v>125</v>
      </c>
      <c r="M218" s="2626">
        <v>45</v>
      </c>
      <c r="N218" s="2627">
        <v>40</v>
      </c>
      <c r="O218" s="2628">
        <v>25</v>
      </c>
      <c r="P218" s="2628">
        <v>30</v>
      </c>
      <c r="Q218" s="2628">
        <v>40</v>
      </c>
      <c r="R218" s="2628">
        <v>15</v>
      </c>
      <c r="S218" s="2629" t="s">
        <v>226</v>
      </c>
      <c r="T218" s="2382">
        <v>210</v>
      </c>
      <c r="U218" s="2383">
        <v>175</v>
      </c>
      <c r="V218" s="2378">
        <v>110</v>
      </c>
      <c r="W218" s="2379">
        <v>140</v>
      </c>
      <c r="X218" s="2378">
        <v>175</v>
      </c>
      <c r="Y218" s="2259">
        <v>70</v>
      </c>
      <c r="Z218" s="2384" t="s">
        <v>226</v>
      </c>
      <c r="AA218" s="2394"/>
      <c r="AB218" s="2394"/>
      <c r="AC218" s="2394"/>
      <c r="AD218" s="2394"/>
      <c r="AE218" s="2394"/>
      <c r="AF218" s="2394"/>
      <c r="AG218" s="2394"/>
      <c r="AH218" s="2394"/>
      <c r="AI218" s="2392"/>
      <c r="AJ218" s="2392"/>
      <c r="AK218" s="2395"/>
      <c r="AL218" s="2396"/>
      <c r="AM218" s="2397"/>
      <c r="AN218" s="2396"/>
      <c r="AO218" s="2397"/>
      <c r="AP218" s="2396"/>
      <c r="AQ218" s="2397"/>
      <c r="BO218" s="2392"/>
    </row>
    <row r="219" spans="1:67" s="2393" customFormat="1" ht="21" customHeight="1">
      <c r="A219" s="2392"/>
      <c r="C219" s="2248" t="s">
        <v>1224</v>
      </c>
      <c r="D219" s="2403"/>
      <c r="E219" s="2400" t="s">
        <v>1150</v>
      </c>
      <c r="F219" s="1842">
        <v>140</v>
      </c>
      <c r="G219" s="1843" t="s">
        <v>1097</v>
      </c>
      <c r="H219" s="1842">
        <v>160</v>
      </c>
      <c r="I219" s="1843" t="s">
        <v>1229</v>
      </c>
      <c r="J219" s="1842">
        <v>185</v>
      </c>
      <c r="K219" s="2290">
        <v>100</v>
      </c>
      <c r="L219" s="2291">
        <v>125</v>
      </c>
      <c r="M219" s="2626">
        <v>45</v>
      </c>
      <c r="N219" s="2627">
        <v>40</v>
      </c>
      <c r="O219" s="2628">
        <v>25</v>
      </c>
      <c r="P219" s="2628">
        <v>30</v>
      </c>
      <c r="Q219" s="2628">
        <v>40</v>
      </c>
      <c r="R219" s="2628">
        <v>15</v>
      </c>
      <c r="S219" s="2629" t="s">
        <v>226</v>
      </c>
      <c r="T219" s="2382">
        <v>210</v>
      </c>
      <c r="U219" s="2383">
        <v>175</v>
      </c>
      <c r="V219" s="2378">
        <v>110</v>
      </c>
      <c r="W219" s="2379">
        <v>140</v>
      </c>
      <c r="X219" s="2378">
        <v>175</v>
      </c>
      <c r="Y219" s="2259">
        <v>70</v>
      </c>
      <c r="Z219" s="2384" t="s">
        <v>226</v>
      </c>
      <c r="AA219" s="2394"/>
      <c r="AB219" s="2394"/>
      <c r="AC219" s="2394"/>
      <c r="AD219" s="2394"/>
      <c r="AE219" s="2394"/>
      <c r="AF219" s="2394"/>
      <c r="AG219" s="2394"/>
      <c r="AH219" s="2394"/>
      <c r="AI219" s="2392"/>
      <c r="AJ219" s="2392"/>
      <c r="AK219" s="2395"/>
      <c r="AL219" s="2396"/>
      <c r="AM219" s="2397"/>
      <c r="AN219" s="2396"/>
      <c r="AO219" s="2397"/>
      <c r="AP219" s="2396"/>
      <c r="AQ219" s="2397"/>
      <c r="BO219" s="2392"/>
    </row>
    <row r="220" spans="1:67" s="2393" customFormat="1" ht="21" customHeight="1">
      <c r="A220" s="2392"/>
      <c r="C220" s="2248" t="s">
        <v>1225</v>
      </c>
      <c r="D220" s="2403"/>
      <c r="E220" s="2400" t="s">
        <v>1068</v>
      </c>
      <c r="F220" s="1842">
        <v>150</v>
      </c>
      <c r="G220" s="1843" t="s">
        <v>1069</v>
      </c>
      <c r="H220" s="1842">
        <v>180</v>
      </c>
      <c r="I220" s="1843" t="s">
        <v>1070</v>
      </c>
      <c r="J220" s="1842">
        <v>215</v>
      </c>
      <c r="K220" s="2290">
        <v>140</v>
      </c>
      <c r="L220" s="2291">
        <v>175</v>
      </c>
      <c r="M220" s="2626">
        <v>60</v>
      </c>
      <c r="N220" s="2627">
        <v>50</v>
      </c>
      <c r="O220" s="2628">
        <v>30</v>
      </c>
      <c r="P220" s="2628">
        <v>40</v>
      </c>
      <c r="Q220" s="2628">
        <v>50</v>
      </c>
      <c r="R220" s="2628">
        <v>20</v>
      </c>
      <c r="S220" s="2629" t="s">
        <v>226</v>
      </c>
      <c r="T220" s="2382">
        <v>270</v>
      </c>
      <c r="U220" s="2383">
        <v>225</v>
      </c>
      <c r="V220" s="2378">
        <v>145</v>
      </c>
      <c r="W220" s="2379">
        <v>180</v>
      </c>
      <c r="X220" s="2378">
        <v>225</v>
      </c>
      <c r="Y220" s="2259">
        <v>90</v>
      </c>
      <c r="Z220" s="2384" t="s">
        <v>226</v>
      </c>
      <c r="AA220" s="2394"/>
      <c r="AB220" s="2394"/>
      <c r="AC220" s="2394"/>
      <c r="AD220" s="2394"/>
      <c r="AE220" s="2394"/>
      <c r="AF220" s="2394"/>
      <c r="AG220" s="2394"/>
      <c r="AH220" s="2394"/>
      <c r="AI220" s="2392"/>
      <c r="AJ220" s="2392"/>
      <c r="AK220" s="2395"/>
      <c r="AL220" s="2396"/>
      <c r="AM220" s="2397"/>
      <c r="AN220" s="2396"/>
      <c r="AO220" s="2397"/>
      <c r="AP220" s="2396"/>
      <c r="AQ220" s="2397"/>
      <c r="BO220" s="2392"/>
    </row>
    <row r="221" spans="1:67" s="2393" customFormat="1" ht="21" customHeight="1">
      <c r="A221" s="2392"/>
      <c r="C221" s="2248" t="s">
        <v>1226</v>
      </c>
      <c r="D221" s="2403"/>
      <c r="E221" s="2400" t="s">
        <v>1165</v>
      </c>
      <c r="F221" s="1842">
        <v>190</v>
      </c>
      <c r="G221" s="1843" t="s">
        <v>1919</v>
      </c>
      <c r="H221" s="1842">
        <v>230</v>
      </c>
      <c r="I221" s="1843" t="s">
        <v>1174</v>
      </c>
      <c r="J221" s="1842">
        <v>280</v>
      </c>
      <c r="K221" s="2290">
        <v>300</v>
      </c>
      <c r="L221" s="2291">
        <v>375</v>
      </c>
      <c r="M221" s="2626">
        <v>45</v>
      </c>
      <c r="N221" s="2627">
        <v>40</v>
      </c>
      <c r="O221" s="2628">
        <v>25</v>
      </c>
      <c r="P221" s="2628">
        <v>30</v>
      </c>
      <c r="Q221" s="2628">
        <v>40</v>
      </c>
      <c r="R221" s="2628">
        <v>15</v>
      </c>
      <c r="S221" s="2629" t="s">
        <v>226</v>
      </c>
      <c r="T221" s="2382">
        <v>300</v>
      </c>
      <c r="U221" s="2383">
        <v>250</v>
      </c>
      <c r="V221" s="2378">
        <v>160</v>
      </c>
      <c r="W221" s="2379">
        <v>200</v>
      </c>
      <c r="X221" s="2378">
        <v>250</v>
      </c>
      <c r="Y221" s="2259">
        <v>100</v>
      </c>
      <c r="Z221" s="2384" t="s">
        <v>226</v>
      </c>
      <c r="AA221" s="2394"/>
      <c r="AB221" s="2394"/>
      <c r="AC221" s="2394"/>
      <c r="AD221" s="2394"/>
      <c r="AE221" s="2394"/>
      <c r="AF221" s="2394"/>
      <c r="AG221" s="2394"/>
      <c r="AH221" s="2394"/>
      <c r="AI221" s="2392"/>
      <c r="AJ221" s="2392"/>
      <c r="AK221" s="2395"/>
      <c r="AL221" s="2396"/>
      <c r="AM221" s="2397"/>
      <c r="AN221" s="2396"/>
      <c r="AO221" s="2397"/>
      <c r="AP221" s="2396"/>
      <c r="AQ221" s="2397"/>
      <c r="BO221" s="2392"/>
    </row>
    <row r="222" spans="1:67" s="2393" customFormat="1" ht="21" customHeight="1">
      <c r="A222" s="2392"/>
      <c r="C222" s="2248" t="s">
        <v>1227</v>
      </c>
      <c r="D222" s="2403"/>
      <c r="E222" s="2400" t="s">
        <v>1920</v>
      </c>
      <c r="F222" s="1842">
        <v>210</v>
      </c>
      <c r="G222" s="1843" t="s">
        <v>1921</v>
      </c>
      <c r="H222" s="1842">
        <v>250</v>
      </c>
      <c r="I222" s="1843" t="s">
        <v>1065</v>
      </c>
      <c r="J222" s="1842">
        <v>300</v>
      </c>
      <c r="K222" s="2290">
        <v>300</v>
      </c>
      <c r="L222" s="2291">
        <v>375</v>
      </c>
      <c r="M222" s="2626">
        <v>75</v>
      </c>
      <c r="N222" s="2627">
        <v>65</v>
      </c>
      <c r="O222" s="2628">
        <v>40</v>
      </c>
      <c r="P222" s="2628">
        <v>50</v>
      </c>
      <c r="Q222" s="2628">
        <v>65</v>
      </c>
      <c r="R222" s="2628">
        <v>25</v>
      </c>
      <c r="S222" s="2629" t="s">
        <v>226</v>
      </c>
      <c r="T222" s="2382">
        <v>360</v>
      </c>
      <c r="U222" s="2383">
        <v>300</v>
      </c>
      <c r="V222" s="2378">
        <v>190</v>
      </c>
      <c r="W222" s="2379">
        <v>240</v>
      </c>
      <c r="X222" s="2378">
        <v>300</v>
      </c>
      <c r="Y222" s="2259">
        <v>120</v>
      </c>
      <c r="Z222" s="2384" t="s">
        <v>226</v>
      </c>
      <c r="AA222" s="2394"/>
      <c r="AB222" s="2394"/>
      <c r="AC222" s="2394"/>
      <c r="AD222" s="2394"/>
      <c r="AE222" s="2394"/>
      <c r="AF222" s="2394"/>
      <c r="AG222" s="2394"/>
      <c r="AH222" s="2394"/>
      <c r="AI222" s="2392"/>
      <c r="AJ222" s="2392"/>
      <c r="AK222" s="2395"/>
      <c r="AL222" s="2396"/>
      <c r="AM222" s="2397"/>
      <c r="AN222" s="2396"/>
      <c r="AO222" s="2397"/>
      <c r="AP222" s="2396"/>
      <c r="AQ222" s="2397"/>
      <c r="BO222" s="2392"/>
    </row>
    <row r="223" spans="1:67" s="2393" customFormat="1" ht="21" customHeight="1">
      <c r="A223" s="2392"/>
      <c r="C223" s="2248" t="s">
        <v>1228</v>
      </c>
      <c r="D223" s="2403"/>
      <c r="E223" s="2400" t="s">
        <v>1068</v>
      </c>
      <c r="F223" s="1842">
        <v>155</v>
      </c>
      <c r="G223" s="1843" t="s">
        <v>1079</v>
      </c>
      <c r="H223" s="1842">
        <v>185</v>
      </c>
      <c r="I223" s="1843" t="s">
        <v>1229</v>
      </c>
      <c r="J223" s="1842">
        <v>220</v>
      </c>
      <c r="K223" s="2290">
        <v>145</v>
      </c>
      <c r="L223" s="2291">
        <v>181</v>
      </c>
      <c r="M223" s="2626">
        <v>75</v>
      </c>
      <c r="N223" s="2627">
        <v>65</v>
      </c>
      <c r="O223" s="2628">
        <v>40</v>
      </c>
      <c r="P223" s="2628">
        <v>50</v>
      </c>
      <c r="Q223" s="2628">
        <v>65</v>
      </c>
      <c r="R223" s="2628">
        <v>25</v>
      </c>
      <c r="S223" s="2629" t="s">
        <v>226</v>
      </c>
      <c r="T223" s="2382">
        <v>315</v>
      </c>
      <c r="U223" s="2383">
        <v>265</v>
      </c>
      <c r="V223" s="2378">
        <v>170</v>
      </c>
      <c r="W223" s="2379">
        <v>210</v>
      </c>
      <c r="X223" s="2378">
        <v>265</v>
      </c>
      <c r="Y223" s="2259">
        <v>105</v>
      </c>
      <c r="Z223" s="2384" t="s">
        <v>226</v>
      </c>
      <c r="AA223" s="2394"/>
      <c r="AB223" s="2394"/>
      <c r="AC223" s="2394"/>
      <c r="AD223" s="2394"/>
      <c r="AE223" s="2394"/>
      <c r="AF223" s="2394"/>
      <c r="AG223" s="2394"/>
      <c r="AH223" s="2394"/>
      <c r="AI223" s="2392"/>
      <c r="AJ223" s="2392"/>
      <c r="AK223" s="2395"/>
      <c r="AL223" s="2396"/>
      <c r="AM223" s="2397"/>
      <c r="AN223" s="2396"/>
      <c r="AO223" s="2397"/>
      <c r="AP223" s="2396"/>
      <c r="AQ223" s="2397"/>
      <c r="BO223" s="2392"/>
    </row>
    <row r="224" spans="1:67" s="2393" customFormat="1" ht="21" customHeight="1">
      <c r="A224" s="2392"/>
      <c r="C224" s="2248" t="s">
        <v>1230</v>
      </c>
      <c r="D224" s="2403"/>
      <c r="E224" s="2400" t="s">
        <v>1023</v>
      </c>
      <c r="F224" s="1842">
        <v>240</v>
      </c>
      <c r="G224" s="1843" t="s">
        <v>1231</v>
      </c>
      <c r="H224" s="1842">
        <v>290</v>
      </c>
      <c r="I224" s="1843" t="s">
        <v>1232</v>
      </c>
      <c r="J224" s="1842">
        <v>355</v>
      </c>
      <c r="K224" s="2290">
        <v>250</v>
      </c>
      <c r="L224" s="2291">
        <v>313</v>
      </c>
      <c r="M224" s="2626">
        <v>75</v>
      </c>
      <c r="N224" s="2627">
        <v>65</v>
      </c>
      <c r="O224" s="2628">
        <v>40</v>
      </c>
      <c r="P224" s="2628">
        <v>50</v>
      </c>
      <c r="Q224" s="2628">
        <v>65</v>
      </c>
      <c r="R224" s="2628">
        <v>25</v>
      </c>
      <c r="S224" s="2629" t="s">
        <v>226</v>
      </c>
      <c r="T224" s="2382">
        <v>330</v>
      </c>
      <c r="U224" s="2383">
        <v>275</v>
      </c>
      <c r="V224" s="2378">
        <v>175</v>
      </c>
      <c r="W224" s="2379">
        <v>220</v>
      </c>
      <c r="X224" s="2378">
        <v>275</v>
      </c>
      <c r="Y224" s="2259">
        <v>110</v>
      </c>
      <c r="Z224" s="2384" t="s">
        <v>226</v>
      </c>
      <c r="AA224" s="2394"/>
      <c r="AB224" s="2394"/>
      <c r="AC224" s="2394"/>
      <c r="AD224" s="2394"/>
      <c r="AE224" s="2394"/>
      <c r="AF224" s="2394"/>
      <c r="AG224" s="2394"/>
      <c r="AH224" s="2394"/>
      <c r="AI224" s="2392"/>
      <c r="AJ224" s="2392"/>
      <c r="AK224" s="2395"/>
      <c r="AL224" s="2396"/>
      <c r="AM224" s="2397"/>
      <c r="AN224" s="2396"/>
      <c r="AO224" s="2397"/>
      <c r="AP224" s="2396"/>
      <c r="AQ224" s="2397"/>
      <c r="BO224" s="2392"/>
    </row>
    <row r="225" spans="1:67" s="2393" customFormat="1" ht="21" customHeight="1">
      <c r="A225" s="2392"/>
      <c r="C225" s="2248" t="s">
        <v>1233</v>
      </c>
      <c r="D225" s="2403"/>
      <c r="E225" s="2400" t="s">
        <v>1023</v>
      </c>
      <c r="F225" s="1842">
        <v>145</v>
      </c>
      <c r="G225" s="1843" t="s">
        <v>1024</v>
      </c>
      <c r="H225" s="1842">
        <v>170</v>
      </c>
      <c r="I225" s="1843" t="s">
        <v>1174</v>
      </c>
      <c r="J225" s="1842">
        <v>205</v>
      </c>
      <c r="K225" s="2290">
        <v>130</v>
      </c>
      <c r="L225" s="2291">
        <v>163</v>
      </c>
      <c r="M225" s="2626">
        <v>45</v>
      </c>
      <c r="N225" s="2627">
        <v>40</v>
      </c>
      <c r="O225" s="2628">
        <v>25</v>
      </c>
      <c r="P225" s="2628">
        <v>30</v>
      </c>
      <c r="Q225" s="2628">
        <v>40</v>
      </c>
      <c r="R225" s="2628">
        <v>15</v>
      </c>
      <c r="S225" s="2629" t="s">
        <v>226</v>
      </c>
      <c r="T225" s="2382">
        <v>285</v>
      </c>
      <c r="U225" s="2383">
        <v>240</v>
      </c>
      <c r="V225" s="2378">
        <v>150</v>
      </c>
      <c r="W225" s="2379">
        <v>190</v>
      </c>
      <c r="X225" s="2378">
        <v>240</v>
      </c>
      <c r="Y225" s="2259">
        <v>95</v>
      </c>
      <c r="Z225" s="2384" t="s">
        <v>226</v>
      </c>
      <c r="AA225" s="2394"/>
      <c r="AB225" s="2394"/>
      <c r="AC225" s="2394"/>
      <c r="AD225" s="2394"/>
      <c r="AE225" s="2394"/>
      <c r="AF225" s="2394"/>
      <c r="AG225" s="2394"/>
      <c r="AH225" s="2394"/>
      <c r="AI225" s="2392"/>
      <c r="AJ225" s="2392"/>
      <c r="AK225" s="2395"/>
      <c r="AL225" s="2396"/>
      <c r="AM225" s="2397"/>
      <c r="AN225" s="2396"/>
      <c r="AO225" s="2397"/>
      <c r="AP225" s="2396"/>
      <c r="AQ225" s="2397"/>
      <c r="BO225" s="2392"/>
    </row>
    <row r="226" spans="1:67" s="2393" customFormat="1" ht="21" customHeight="1">
      <c r="A226" s="2392"/>
      <c r="C226" s="2248" t="s">
        <v>1234</v>
      </c>
      <c r="D226" s="2403"/>
      <c r="E226" s="2400" t="s">
        <v>1056</v>
      </c>
      <c r="F226" s="1842">
        <v>145</v>
      </c>
      <c r="G226" s="1843" t="s">
        <v>1057</v>
      </c>
      <c r="H226" s="1842">
        <v>170</v>
      </c>
      <c r="I226" s="1843" t="s">
        <v>1161</v>
      </c>
      <c r="J226" s="1842">
        <v>205</v>
      </c>
      <c r="K226" s="2290">
        <v>130</v>
      </c>
      <c r="L226" s="2291">
        <v>163</v>
      </c>
      <c r="M226" s="2626">
        <v>45</v>
      </c>
      <c r="N226" s="2627">
        <v>40</v>
      </c>
      <c r="O226" s="2628">
        <v>25</v>
      </c>
      <c r="P226" s="2628">
        <v>30</v>
      </c>
      <c r="Q226" s="2628">
        <v>40</v>
      </c>
      <c r="R226" s="2628">
        <v>15</v>
      </c>
      <c r="S226" s="2629" t="s">
        <v>226</v>
      </c>
      <c r="T226" s="2382">
        <v>285</v>
      </c>
      <c r="U226" s="2383">
        <v>240</v>
      </c>
      <c r="V226" s="2378">
        <v>150</v>
      </c>
      <c r="W226" s="2379">
        <v>190</v>
      </c>
      <c r="X226" s="2378">
        <v>240</v>
      </c>
      <c r="Y226" s="2259">
        <v>95</v>
      </c>
      <c r="Z226" s="2384" t="s">
        <v>226</v>
      </c>
      <c r="AA226" s="2394"/>
      <c r="AB226" s="2394"/>
      <c r="AC226" s="2394"/>
      <c r="AD226" s="2394"/>
      <c r="AE226" s="2394"/>
      <c r="AF226" s="2394"/>
      <c r="AG226" s="2394"/>
      <c r="AH226" s="2394"/>
      <c r="AI226" s="2392"/>
      <c r="AJ226" s="2392"/>
      <c r="AK226" s="2395"/>
      <c r="AL226" s="2396"/>
      <c r="AM226" s="2397"/>
      <c r="AN226" s="2396"/>
      <c r="AO226" s="2397"/>
      <c r="AP226" s="2396"/>
      <c r="AQ226" s="2397"/>
      <c r="BO226" s="2392"/>
    </row>
    <row r="227" spans="1:67" s="2393" customFormat="1" ht="21" customHeight="1">
      <c r="A227" s="2392"/>
      <c r="C227" s="2248" t="s">
        <v>1235</v>
      </c>
      <c r="D227" s="2403"/>
      <c r="E227" s="2400" t="s">
        <v>1165</v>
      </c>
      <c r="F227" s="1842">
        <v>190</v>
      </c>
      <c r="G227" s="1843" t="s">
        <v>1168</v>
      </c>
      <c r="H227" s="1842">
        <v>220</v>
      </c>
      <c r="I227" s="1843" t="s">
        <v>1169</v>
      </c>
      <c r="J227" s="1842">
        <v>260</v>
      </c>
      <c r="K227" s="2290">
        <v>190</v>
      </c>
      <c r="L227" s="2291">
        <v>238</v>
      </c>
      <c r="M227" s="2626">
        <v>45</v>
      </c>
      <c r="N227" s="2627">
        <v>40</v>
      </c>
      <c r="O227" s="2628">
        <v>25</v>
      </c>
      <c r="P227" s="2628">
        <v>30</v>
      </c>
      <c r="Q227" s="2628">
        <v>40</v>
      </c>
      <c r="R227" s="2628">
        <v>15</v>
      </c>
      <c r="S227" s="2629" t="s">
        <v>226</v>
      </c>
      <c r="T227" s="2382">
        <v>195</v>
      </c>
      <c r="U227" s="2383">
        <v>165</v>
      </c>
      <c r="V227" s="2378">
        <v>105</v>
      </c>
      <c r="W227" s="2379">
        <v>130</v>
      </c>
      <c r="X227" s="2378">
        <v>165</v>
      </c>
      <c r="Y227" s="2259">
        <v>65</v>
      </c>
      <c r="Z227" s="2384" t="s">
        <v>226</v>
      </c>
      <c r="AA227" s="2394"/>
      <c r="AB227" s="2394"/>
      <c r="AC227" s="2394"/>
      <c r="AD227" s="2394"/>
      <c r="AE227" s="2394"/>
      <c r="AF227" s="2394"/>
      <c r="AG227" s="2394"/>
      <c r="AH227" s="2394"/>
      <c r="AI227" s="2392"/>
      <c r="AJ227" s="2392"/>
      <c r="AL227" s="2396"/>
      <c r="AM227" s="2397"/>
      <c r="AN227" s="2396"/>
      <c r="AO227" s="2397"/>
      <c r="AP227" s="2396"/>
      <c r="AQ227" s="2397"/>
      <c r="BL227" s="2398"/>
      <c r="BO227" s="2392"/>
    </row>
    <row r="228" spans="1:67" s="2393" customFormat="1" ht="21" customHeight="1">
      <c r="A228" s="2392"/>
      <c r="C228" s="2248" t="s">
        <v>1237</v>
      </c>
      <c r="D228" s="2403"/>
      <c r="E228" s="2400" t="s">
        <v>1066</v>
      </c>
      <c r="F228" s="1842">
        <v>190</v>
      </c>
      <c r="G228" s="1843" t="s">
        <v>1058</v>
      </c>
      <c r="H228" s="1842">
        <v>220</v>
      </c>
      <c r="I228" s="1843" t="s">
        <v>1152</v>
      </c>
      <c r="J228" s="1842">
        <v>260</v>
      </c>
      <c r="K228" s="2290">
        <v>190</v>
      </c>
      <c r="L228" s="2291">
        <v>238</v>
      </c>
      <c r="M228" s="2626">
        <v>75</v>
      </c>
      <c r="N228" s="2627">
        <v>65</v>
      </c>
      <c r="O228" s="2628">
        <v>40</v>
      </c>
      <c r="P228" s="2628">
        <v>50</v>
      </c>
      <c r="Q228" s="2628">
        <v>65</v>
      </c>
      <c r="R228" s="2628">
        <v>25</v>
      </c>
      <c r="S228" s="2629" t="s">
        <v>226</v>
      </c>
      <c r="T228" s="2382">
        <v>270</v>
      </c>
      <c r="U228" s="2383">
        <v>225</v>
      </c>
      <c r="V228" s="2378">
        <v>145</v>
      </c>
      <c r="W228" s="2379">
        <v>180</v>
      </c>
      <c r="X228" s="2378">
        <v>225</v>
      </c>
      <c r="Y228" s="2259">
        <v>90</v>
      </c>
      <c r="Z228" s="2384" t="s">
        <v>226</v>
      </c>
      <c r="AA228" s="2394"/>
      <c r="AB228" s="2394"/>
      <c r="AC228" s="2394"/>
      <c r="AD228" s="2394"/>
      <c r="AE228" s="2394"/>
      <c r="AF228" s="2394"/>
      <c r="AG228" s="2394"/>
      <c r="AH228" s="2394"/>
      <c r="AI228" s="2392"/>
      <c r="AJ228" s="2392"/>
      <c r="AL228" s="2396"/>
      <c r="AM228" s="2397"/>
      <c r="AN228" s="2396"/>
      <c r="AO228" s="2397"/>
      <c r="AP228" s="2396"/>
      <c r="AQ228" s="2397"/>
      <c r="BL228" s="2398"/>
      <c r="BO228" s="2392"/>
    </row>
    <row r="229" spans="1:67" s="2393" customFormat="1" ht="21" customHeight="1">
      <c r="A229" s="2392"/>
      <c r="C229" s="2248" t="s">
        <v>1238</v>
      </c>
      <c r="D229" s="2403"/>
      <c r="E229" s="2400" t="s">
        <v>1165</v>
      </c>
      <c r="F229" s="1842">
        <v>210</v>
      </c>
      <c r="G229" s="1843" t="s">
        <v>1236</v>
      </c>
      <c r="H229" s="1842">
        <v>250</v>
      </c>
      <c r="I229" s="1843" t="s">
        <v>1152</v>
      </c>
      <c r="J229" s="1842">
        <v>300</v>
      </c>
      <c r="K229" s="2290">
        <v>190</v>
      </c>
      <c r="L229" s="2291">
        <v>238</v>
      </c>
      <c r="M229" s="2626">
        <v>60</v>
      </c>
      <c r="N229" s="2627">
        <v>50</v>
      </c>
      <c r="O229" s="2628">
        <v>30</v>
      </c>
      <c r="P229" s="2628">
        <v>40</v>
      </c>
      <c r="Q229" s="2628">
        <v>50</v>
      </c>
      <c r="R229" s="2628">
        <v>20</v>
      </c>
      <c r="S229" s="2629" t="s">
        <v>226</v>
      </c>
      <c r="T229" s="2382">
        <v>225</v>
      </c>
      <c r="U229" s="2383">
        <v>190</v>
      </c>
      <c r="V229" s="2378">
        <v>120</v>
      </c>
      <c r="W229" s="2379">
        <v>150</v>
      </c>
      <c r="X229" s="2378">
        <v>190</v>
      </c>
      <c r="Y229" s="2259">
        <v>75</v>
      </c>
      <c r="Z229" s="2384" t="s">
        <v>226</v>
      </c>
      <c r="AA229" s="2394"/>
      <c r="AB229" s="2394"/>
      <c r="AC229" s="2394"/>
      <c r="AD229" s="2394"/>
      <c r="AE229" s="2394"/>
      <c r="AF229" s="2394"/>
      <c r="AG229" s="2394"/>
      <c r="AH229" s="2394"/>
      <c r="AI229" s="2392"/>
      <c r="AJ229" s="2392"/>
      <c r="AL229" s="2396"/>
      <c r="AM229" s="2397"/>
      <c r="AN229" s="2396"/>
      <c r="AO229" s="2397"/>
      <c r="AP229" s="2396"/>
      <c r="AQ229" s="2397"/>
      <c r="BL229" s="2398"/>
      <c r="BO229" s="2392"/>
    </row>
    <row r="230" spans="1:67" s="2393" customFormat="1" ht="21" customHeight="1">
      <c r="A230" s="2392"/>
      <c r="C230" s="2248" t="s">
        <v>1239</v>
      </c>
      <c r="D230" s="2403"/>
      <c r="E230" s="2400" t="s">
        <v>1056</v>
      </c>
      <c r="F230" s="1842">
        <v>120</v>
      </c>
      <c r="G230" s="1843" t="s">
        <v>1057</v>
      </c>
      <c r="H230" s="1842">
        <v>140</v>
      </c>
      <c r="I230" s="1843" t="s">
        <v>1161</v>
      </c>
      <c r="J230" s="1842">
        <v>165</v>
      </c>
      <c r="K230" s="2290">
        <v>100</v>
      </c>
      <c r="L230" s="2291">
        <v>125</v>
      </c>
      <c r="M230" s="2626">
        <v>45</v>
      </c>
      <c r="N230" s="2627">
        <v>40</v>
      </c>
      <c r="O230" s="2628">
        <v>25</v>
      </c>
      <c r="P230" s="2628">
        <v>30</v>
      </c>
      <c r="Q230" s="2628">
        <v>40</v>
      </c>
      <c r="R230" s="2628">
        <v>15</v>
      </c>
      <c r="S230" s="2629" t="s">
        <v>226</v>
      </c>
      <c r="T230" s="2382">
        <v>210</v>
      </c>
      <c r="U230" s="2383">
        <v>175</v>
      </c>
      <c r="V230" s="2378">
        <v>110</v>
      </c>
      <c r="W230" s="2379">
        <v>140</v>
      </c>
      <c r="X230" s="2378">
        <v>175</v>
      </c>
      <c r="Y230" s="2259">
        <v>70</v>
      </c>
      <c r="Z230" s="2384" t="s">
        <v>226</v>
      </c>
      <c r="AA230" s="2394"/>
      <c r="AB230" s="2394"/>
      <c r="AC230" s="2394"/>
      <c r="AD230" s="2394"/>
      <c r="AE230" s="2394"/>
      <c r="AF230" s="2394"/>
      <c r="AG230" s="2394"/>
      <c r="AH230" s="2394"/>
      <c r="AI230" s="2392"/>
      <c r="AJ230" s="2392"/>
      <c r="AL230" s="2396"/>
      <c r="AM230" s="2397"/>
      <c r="AN230" s="2396"/>
      <c r="AO230" s="2397"/>
      <c r="AP230" s="2396"/>
      <c r="AQ230" s="2397"/>
      <c r="BL230" s="2398"/>
      <c r="BO230" s="2392"/>
    </row>
    <row r="231" spans="1:67" s="2393" customFormat="1" ht="21" customHeight="1">
      <c r="A231" s="2392"/>
      <c r="C231" s="2248" t="s">
        <v>1240</v>
      </c>
      <c r="D231" s="2403"/>
      <c r="E231" s="2400" t="s">
        <v>1068</v>
      </c>
      <c r="F231" s="1842">
        <v>105</v>
      </c>
      <c r="G231" s="1843" t="s">
        <v>1079</v>
      </c>
      <c r="H231" s="1842">
        <v>120</v>
      </c>
      <c r="I231" s="1843" t="s">
        <v>1229</v>
      </c>
      <c r="J231" s="1842">
        <v>140</v>
      </c>
      <c r="K231" s="2290">
        <v>80</v>
      </c>
      <c r="L231" s="2291">
        <v>100</v>
      </c>
      <c r="M231" s="2626">
        <v>30</v>
      </c>
      <c r="N231" s="2627">
        <v>25</v>
      </c>
      <c r="O231" s="2628">
        <v>15</v>
      </c>
      <c r="P231" s="2628">
        <v>20</v>
      </c>
      <c r="Q231" s="2628">
        <v>25</v>
      </c>
      <c r="R231" s="2628">
        <v>10</v>
      </c>
      <c r="S231" s="2629" t="s">
        <v>226</v>
      </c>
      <c r="T231" s="2382">
        <v>150</v>
      </c>
      <c r="U231" s="2383">
        <v>125</v>
      </c>
      <c r="V231" s="2378">
        <v>80</v>
      </c>
      <c r="W231" s="2379">
        <v>100</v>
      </c>
      <c r="X231" s="2378">
        <v>125</v>
      </c>
      <c r="Y231" s="2259">
        <v>50</v>
      </c>
      <c r="Z231" s="2384" t="s">
        <v>226</v>
      </c>
      <c r="AA231" s="2394"/>
      <c r="AB231" s="2394"/>
      <c r="AC231" s="2394"/>
      <c r="AD231" s="2394"/>
      <c r="AE231" s="2394"/>
      <c r="AF231" s="2394"/>
      <c r="AG231" s="2394"/>
      <c r="AH231" s="2394"/>
      <c r="AI231" s="2392"/>
      <c r="AJ231" s="2392"/>
      <c r="AL231" s="2396"/>
      <c r="AM231" s="2397"/>
      <c r="AN231" s="2396"/>
      <c r="AO231" s="2397"/>
      <c r="AP231" s="2396"/>
      <c r="AQ231" s="2397"/>
      <c r="BL231" s="2398"/>
      <c r="BO231" s="2392"/>
    </row>
    <row r="232" spans="1:67" s="2393" customFormat="1" ht="21" customHeight="1">
      <c r="A232" s="2392"/>
      <c r="C232" s="2248" t="s">
        <v>1241</v>
      </c>
      <c r="D232" s="2403"/>
      <c r="E232" s="2400" t="s">
        <v>1068</v>
      </c>
      <c r="F232" s="1842">
        <v>105</v>
      </c>
      <c r="G232" s="1843" t="s">
        <v>1069</v>
      </c>
      <c r="H232" s="1842">
        <v>120</v>
      </c>
      <c r="I232" s="1843" t="s">
        <v>1070</v>
      </c>
      <c r="J232" s="1842">
        <v>140</v>
      </c>
      <c r="K232" s="2290">
        <v>80</v>
      </c>
      <c r="L232" s="2291">
        <v>100</v>
      </c>
      <c r="M232" s="2626">
        <v>30</v>
      </c>
      <c r="N232" s="2627">
        <v>25</v>
      </c>
      <c r="O232" s="2628">
        <v>15</v>
      </c>
      <c r="P232" s="2628">
        <v>20</v>
      </c>
      <c r="Q232" s="2628">
        <v>25</v>
      </c>
      <c r="R232" s="2628">
        <v>10</v>
      </c>
      <c r="S232" s="2629" t="s">
        <v>226</v>
      </c>
      <c r="T232" s="2382">
        <v>150</v>
      </c>
      <c r="U232" s="2383">
        <v>125</v>
      </c>
      <c r="V232" s="2378">
        <v>80</v>
      </c>
      <c r="W232" s="2379">
        <v>100</v>
      </c>
      <c r="X232" s="2378">
        <v>125</v>
      </c>
      <c r="Y232" s="2259">
        <v>50</v>
      </c>
      <c r="Z232" s="2384" t="s">
        <v>226</v>
      </c>
      <c r="AA232" s="2394"/>
      <c r="AB232" s="2394"/>
      <c r="AC232" s="2394"/>
      <c r="AD232" s="2394"/>
      <c r="AE232" s="2394"/>
      <c r="AF232" s="2394"/>
      <c r="AG232" s="2394"/>
      <c r="AH232" s="2394"/>
      <c r="AI232" s="2392"/>
      <c r="AJ232" s="2392"/>
      <c r="AL232" s="2396"/>
      <c r="AM232" s="2397"/>
      <c r="AN232" s="2396"/>
      <c r="AO232" s="2397"/>
      <c r="AP232" s="2396"/>
      <c r="AQ232" s="2397"/>
      <c r="BL232" s="2398"/>
      <c r="BO232" s="2392"/>
    </row>
    <row r="233" spans="1:67" s="2393" customFormat="1" ht="21" customHeight="1">
      <c r="A233" s="2392"/>
      <c r="C233" s="2248" t="s">
        <v>1242</v>
      </c>
      <c r="D233" s="2403"/>
      <c r="E233" s="2400" t="s">
        <v>1068</v>
      </c>
      <c r="F233" s="1842">
        <v>105</v>
      </c>
      <c r="G233" s="1843" t="s">
        <v>1069</v>
      </c>
      <c r="H233" s="1842">
        <v>120</v>
      </c>
      <c r="I233" s="1843" t="s">
        <v>1070</v>
      </c>
      <c r="J233" s="1842">
        <v>140</v>
      </c>
      <c r="K233" s="2290">
        <v>80</v>
      </c>
      <c r="L233" s="2291">
        <v>100</v>
      </c>
      <c r="M233" s="2626">
        <v>30</v>
      </c>
      <c r="N233" s="2627">
        <v>25</v>
      </c>
      <c r="O233" s="2628">
        <v>15</v>
      </c>
      <c r="P233" s="2628">
        <v>20</v>
      </c>
      <c r="Q233" s="2628">
        <v>25</v>
      </c>
      <c r="R233" s="2628">
        <v>10</v>
      </c>
      <c r="S233" s="2629" t="s">
        <v>226</v>
      </c>
      <c r="T233" s="2382">
        <v>150</v>
      </c>
      <c r="U233" s="2383">
        <v>125</v>
      </c>
      <c r="V233" s="2378">
        <v>80</v>
      </c>
      <c r="W233" s="2379">
        <v>100</v>
      </c>
      <c r="X233" s="2378">
        <v>125</v>
      </c>
      <c r="Y233" s="2259">
        <v>50</v>
      </c>
      <c r="Z233" s="2384" t="s">
        <v>226</v>
      </c>
      <c r="AA233" s="2394"/>
      <c r="AB233" s="2394"/>
      <c r="AC233" s="2394"/>
      <c r="AD233" s="2394"/>
      <c r="AE233" s="2394"/>
      <c r="AF233" s="2394"/>
      <c r="AG233" s="2394"/>
      <c r="AH233" s="2394"/>
      <c r="AI233" s="2392"/>
      <c r="AJ233" s="2392"/>
      <c r="AL233" s="2396"/>
      <c r="AM233" s="2397"/>
      <c r="AN233" s="2396"/>
      <c r="AO233" s="2397"/>
      <c r="AP233" s="2396"/>
      <c r="AQ233" s="2397"/>
      <c r="BL233" s="2398"/>
      <c r="BO233" s="2392"/>
    </row>
    <row r="234" spans="1:67" s="2393" customFormat="1" ht="21" customHeight="1">
      <c r="A234" s="2392"/>
      <c r="C234" s="2248" t="s">
        <v>1243</v>
      </c>
      <c r="D234" s="2403"/>
      <c r="E234" s="2400" t="s">
        <v>1056</v>
      </c>
      <c r="F234" s="1842">
        <v>135</v>
      </c>
      <c r="G234" s="1843" t="s">
        <v>1057</v>
      </c>
      <c r="H234" s="1842">
        <v>160</v>
      </c>
      <c r="I234" s="1843" t="s">
        <v>1161</v>
      </c>
      <c r="J234" s="1842">
        <v>190</v>
      </c>
      <c r="K234" s="2290">
        <v>120</v>
      </c>
      <c r="L234" s="2291">
        <v>150</v>
      </c>
      <c r="M234" s="2626">
        <v>60</v>
      </c>
      <c r="N234" s="2627">
        <v>50</v>
      </c>
      <c r="O234" s="2628">
        <v>30</v>
      </c>
      <c r="P234" s="2628">
        <v>40</v>
      </c>
      <c r="Q234" s="2628">
        <v>50</v>
      </c>
      <c r="R234" s="2628">
        <v>20</v>
      </c>
      <c r="S234" s="2629" t="s">
        <v>226</v>
      </c>
      <c r="T234" s="2382">
        <v>300</v>
      </c>
      <c r="U234" s="2383">
        <v>250</v>
      </c>
      <c r="V234" s="2378">
        <v>160</v>
      </c>
      <c r="W234" s="2379">
        <v>200</v>
      </c>
      <c r="X234" s="2378">
        <v>250</v>
      </c>
      <c r="Y234" s="2259">
        <v>100</v>
      </c>
      <c r="Z234" s="2384" t="s">
        <v>226</v>
      </c>
      <c r="AA234" s="2394"/>
      <c r="AB234" s="2394"/>
      <c r="AC234" s="2394"/>
      <c r="AD234" s="2394"/>
      <c r="AE234" s="2394"/>
      <c r="AF234" s="2394"/>
      <c r="AG234" s="2394"/>
      <c r="AH234" s="2394"/>
      <c r="AI234" s="2392"/>
      <c r="AJ234" s="2392"/>
      <c r="AL234" s="2396"/>
      <c r="AM234" s="2397"/>
      <c r="AN234" s="2396"/>
      <c r="AO234" s="2397"/>
      <c r="AP234" s="2396"/>
      <c r="AQ234" s="2397"/>
      <c r="BL234" s="2398"/>
      <c r="BO234" s="2392"/>
    </row>
    <row r="235" spans="1:67" s="2393" customFormat="1" ht="21" customHeight="1">
      <c r="A235" s="2392"/>
      <c r="C235" s="2248" t="s">
        <v>1244</v>
      </c>
      <c r="D235" s="2403"/>
      <c r="E235" s="2400" t="s">
        <v>1165</v>
      </c>
      <c r="F235" s="1842">
        <v>150</v>
      </c>
      <c r="G235" s="1843" t="s">
        <v>1922</v>
      </c>
      <c r="H235" s="1842">
        <v>180</v>
      </c>
      <c r="I235" s="1843" t="s">
        <v>1174</v>
      </c>
      <c r="J235" s="1842">
        <v>215</v>
      </c>
      <c r="K235" s="2290">
        <v>120</v>
      </c>
      <c r="L235" s="2291">
        <v>150</v>
      </c>
      <c r="M235" s="2626">
        <v>60</v>
      </c>
      <c r="N235" s="2627">
        <v>50</v>
      </c>
      <c r="O235" s="2628">
        <v>30</v>
      </c>
      <c r="P235" s="2628">
        <v>40</v>
      </c>
      <c r="Q235" s="2628">
        <v>50</v>
      </c>
      <c r="R235" s="2628">
        <v>20</v>
      </c>
      <c r="S235" s="2629" t="s">
        <v>226</v>
      </c>
      <c r="T235" s="2382">
        <v>300</v>
      </c>
      <c r="U235" s="2383">
        <v>250</v>
      </c>
      <c r="V235" s="2378">
        <v>160</v>
      </c>
      <c r="W235" s="2379">
        <v>200</v>
      </c>
      <c r="X235" s="2378">
        <v>250</v>
      </c>
      <c r="Y235" s="2259">
        <v>100</v>
      </c>
      <c r="Z235" s="2384" t="s">
        <v>226</v>
      </c>
      <c r="AA235" s="2394"/>
      <c r="AB235" s="2394"/>
      <c r="AC235" s="2394"/>
      <c r="AD235" s="2394"/>
      <c r="AE235" s="2394"/>
      <c r="AF235" s="2394"/>
      <c r="AG235" s="2394"/>
      <c r="AH235" s="2394"/>
      <c r="AI235" s="2392"/>
      <c r="AJ235" s="2392"/>
      <c r="AL235" s="2396"/>
      <c r="AM235" s="2397"/>
      <c r="AN235" s="2396"/>
      <c r="AO235" s="2397"/>
      <c r="AP235" s="2396"/>
      <c r="AQ235" s="2397"/>
      <c r="BL235" s="2398"/>
      <c r="BO235" s="2392"/>
    </row>
    <row r="236" spans="1:67" s="2393" customFormat="1" ht="21" customHeight="1">
      <c r="A236" s="2392"/>
      <c r="C236" s="2248" t="s">
        <v>1245</v>
      </c>
      <c r="D236" s="2403"/>
      <c r="E236" s="2400" t="s">
        <v>1184</v>
      </c>
      <c r="F236" s="1842">
        <v>150</v>
      </c>
      <c r="G236" s="1843" t="s">
        <v>1059</v>
      </c>
      <c r="H236" s="1842">
        <v>180</v>
      </c>
      <c r="I236" s="1843" t="s">
        <v>1060</v>
      </c>
      <c r="J236" s="1842">
        <v>215</v>
      </c>
      <c r="K236" s="2290">
        <v>140</v>
      </c>
      <c r="L236" s="2291">
        <v>175</v>
      </c>
      <c r="M236" s="2626">
        <v>60</v>
      </c>
      <c r="N236" s="2627">
        <v>50</v>
      </c>
      <c r="O236" s="2628">
        <v>30</v>
      </c>
      <c r="P236" s="2628">
        <v>40</v>
      </c>
      <c r="Q236" s="2628">
        <v>50</v>
      </c>
      <c r="R236" s="2628">
        <v>20</v>
      </c>
      <c r="S236" s="2629" t="s">
        <v>226</v>
      </c>
      <c r="T236" s="2382">
        <v>300</v>
      </c>
      <c r="U236" s="2383">
        <v>250</v>
      </c>
      <c r="V236" s="2378">
        <v>160</v>
      </c>
      <c r="W236" s="2379">
        <v>200</v>
      </c>
      <c r="X236" s="2378">
        <v>250</v>
      </c>
      <c r="Y236" s="2259">
        <v>100</v>
      </c>
      <c r="Z236" s="2384" t="s">
        <v>226</v>
      </c>
      <c r="AA236" s="2394"/>
      <c r="AB236" s="2394"/>
      <c r="AC236" s="2394"/>
      <c r="AD236" s="2394"/>
      <c r="AE236" s="2394"/>
      <c r="AF236" s="2394"/>
      <c r="AG236" s="2394"/>
      <c r="AH236" s="2394"/>
      <c r="AI236" s="2392"/>
      <c r="AJ236" s="2392"/>
      <c r="AL236" s="2396"/>
      <c r="AM236" s="2397"/>
      <c r="AN236" s="2396"/>
      <c r="AO236" s="2397"/>
      <c r="AP236" s="2396"/>
      <c r="AQ236" s="2397"/>
      <c r="BL236" s="2398"/>
      <c r="BO236" s="2392"/>
    </row>
    <row r="237" spans="1:67" s="2393" customFormat="1" ht="21" customHeight="1">
      <c r="A237" s="2392"/>
      <c r="C237" s="2248" t="s">
        <v>1246</v>
      </c>
      <c r="D237" s="2403"/>
      <c r="E237" s="2400" t="s">
        <v>1165</v>
      </c>
      <c r="F237" s="1842">
        <v>150</v>
      </c>
      <c r="G237" s="1843" t="s">
        <v>1922</v>
      </c>
      <c r="H237" s="1842">
        <v>180</v>
      </c>
      <c r="I237" s="1843" t="s">
        <v>1174</v>
      </c>
      <c r="J237" s="1842">
        <v>215</v>
      </c>
      <c r="K237" s="2290">
        <v>140</v>
      </c>
      <c r="L237" s="2291">
        <v>175</v>
      </c>
      <c r="M237" s="2626">
        <v>60</v>
      </c>
      <c r="N237" s="2627">
        <v>50</v>
      </c>
      <c r="O237" s="2628">
        <v>30</v>
      </c>
      <c r="P237" s="2628">
        <v>40</v>
      </c>
      <c r="Q237" s="2628">
        <v>50</v>
      </c>
      <c r="R237" s="2628">
        <v>20</v>
      </c>
      <c r="S237" s="2629" t="s">
        <v>226</v>
      </c>
      <c r="T237" s="2382">
        <v>300</v>
      </c>
      <c r="U237" s="2383">
        <v>250</v>
      </c>
      <c r="V237" s="2378">
        <v>160</v>
      </c>
      <c r="W237" s="2379">
        <v>200</v>
      </c>
      <c r="X237" s="2378">
        <v>250</v>
      </c>
      <c r="Y237" s="2259">
        <v>100</v>
      </c>
      <c r="Z237" s="2384" t="s">
        <v>226</v>
      </c>
      <c r="AA237" s="2394"/>
      <c r="AB237" s="2394"/>
      <c r="AC237" s="2394"/>
      <c r="AD237" s="2394"/>
      <c r="AE237" s="2394"/>
      <c r="AF237" s="2394"/>
      <c r="AG237" s="2394"/>
      <c r="AH237" s="2394"/>
      <c r="AI237" s="2392"/>
      <c r="AJ237" s="2392"/>
      <c r="AL237" s="2396"/>
      <c r="AM237" s="2397"/>
      <c r="AN237" s="2396"/>
      <c r="AO237" s="2397"/>
      <c r="AP237" s="2396"/>
      <c r="AQ237" s="2397"/>
      <c r="BL237" s="2398"/>
      <c r="BO237" s="2392"/>
    </row>
    <row r="238" spans="1:67" s="2393" customFormat="1" ht="21" customHeight="1">
      <c r="A238" s="2392"/>
      <c r="C238" s="2248" t="s">
        <v>1247</v>
      </c>
      <c r="D238" s="2403"/>
      <c r="E238" s="2400" t="s">
        <v>1150</v>
      </c>
      <c r="F238" s="1842">
        <v>130</v>
      </c>
      <c r="G238" s="1843" t="s">
        <v>1182</v>
      </c>
      <c r="H238" s="1842">
        <v>155</v>
      </c>
      <c r="I238" s="1843" t="s">
        <v>1098</v>
      </c>
      <c r="J238" s="1842">
        <v>185</v>
      </c>
      <c r="K238" s="2290">
        <v>125</v>
      </c>
      <c r="L238" s="2291">
        <v>156</v>
      </c>
      <c r="M238" s="2626">
        <v>90</v>
      </c>
      <c r="N238" s="2627">
        <v>75</v>
      </c>
      <c r="O238" s="2628">
        <v>50</v>
      </c>
      <c r="P238" s="2628">
        <v>60</v>
      </c>
      <c r="Q238" s="2628">
        <v>75</v>
      </c>
      <c r="R238" s="2628">
        <v>30</v>
      </c>
      <c r="S238" s="2629" t="s">
        <v>226</v>
      </c>
      <c r="T238" s="2382">
        <v>300</v>
      </c>
      <c r="U238" s="2383">
        <v>250</v>
      </c>
      <c r="V238" s="2378">
        <v>160</v>
      </c>
      <c r="W238" s="2379">
        <v>200</v>
      </c>
      <c r="X238" s="2378">
        <v>250</v>
      </c>
      <c r="Y238" s="2259">
        <v>100</v>
      </c>
      <c r="Z238" s="2384" t="s">
        <v>226</v>
      </c>
      <c r="AA238" s="2394"/>
      <c r="AB238" s="2394"/>
      <c r="AC238" s="2394"/>
      <c r="AD238" s="2394"/>
      <c r="AE238" s="2394"/>
      <c r="AF238" s="2394"/>
      <c r="AG238" s="2394"/>
      <c r="AH238" s="2394"/>
      <c r="AI238" s="2392"/>
      <c r="AJ238" s="2392"/>
      <c r="AL238" s="2396"/>
      <c r="AM238" s="2397"/>
      <c r="AN238" s="2396"/>
      <c r="AO238" s="2397"/>
      <c r="AP238" s="2396"/>
      <c r="AQ238" s="2397"/>
      <c r="BL238" s="2398"/>
      <c r="BO238" s="2392"/>
    </row>
    <row r="239" spans="1:67" s="2393" customFormat="1" ht="21" customHeight="1">
      <c r="A239" s="2392"/>
      <c r="C239" s="2248" t="s">
        <v>1248</v>
      </c>
      <c r="D239" s="2403"/>
      <c r="E239" s="2400" t="s">
        <v>1184</v>
      </c>
      <c r="F239" s="1842">
        <v>160</v>
      </c>
      <c r="G239" s="1843" t="s">
        <v>1059</v>
      </c>
      <c r="H239" s="1842">
        <v>190</v>
      </c>
      <c r="I239" s="1843" t="s">
        <v>1060</v>
      </c>
      <c r="J239" s="1842">
        <v>230</v>
      </c>
      <c r="K239" s="2290">
        <v>150</v>
      </c>
      <c r="L239" s="2291">
        <v>188</v>
      </c>
      <c r="M239" s="2626">
        <v>75</v>
      </c>
      <c r="N239" s="2627">
        <v>65</v>
      </c>
      <c r="O239" s="2628">
        <v>40</v>
      </c>
      <c r="P239" s="2628">
        <v>50</v>
      </c>
      <c r="Q239" s="2628">
        <v>65</v>
      </c>
      <c r="R239" s="2628">
        <v>25</v>
      </c>
      <c r="S239" s="2629" t="s">
        <v>226</v>
      </c>
      <c r="T239" s="2382">
        <v>295</v>
      </c>
      <c r="U239" s="2383">
        <v>245</v>
      </c>
      <c r="V239" s="2378">
        <v>155</v>
      </c>
      <c r="W239" s="2379">
        <v>195</v>
      </c>
      <c r="X239" s="2378">
        <v>245</v>
      </c>
      <c r="Y239" s="2259">
        <v>100</v>
      </c>
      <c r="Z239" s="2384" t="s">
        <v>226</v>
      </c>
      <c r="AA239" s="2394"/>
      <c r="AB239" s="2394"/>
      <c r="AC239" s="2394"/>
      <c r="AD239" s="2394"/>
      <c r="AE239" s="2394"/>
      <c r="AF239" s="2394"/>
      <c r="AG239" s="2394"/>
      <c r="AH239" s="2394"/>
      <c r="AI239" s="2392"/>
      <c r="AJ239" s="2392"/>
      <c r="AL239" s="2396"/>
      <c r="AM239" s="2397"/>
      <c r="AN239" s="2396"/>
      <c r="AO239" s="2397"/>
      <c r="AP239" s="2396"/>
      <c r="AQ239" s="2397"/>
      <c r="BL239" s="2398"/>
      <c r="BO239" s="2392"/>
    </row>
    <row r="240" spans="1:67" s="2393" customFormat="1" ht="21" customHeight="1">
      <c r="A240" s="2392"/>
      <c r="C240" s="2248" t="s">
        <v>1250</v>
      </c>
      <c r="D240" s="2403"/>
      <c r="E240" s="2400" t="s">
        <v>1186</v>
      </c>
      <c r="F240" s="1842">
        <v>170</v>
      </c>
      <c r="G240" s="1843" t="s">
        <v>1923</v>
      </c>
      <c r="H240" s="1842">
        <v>200</v>
      </c>
      <c r="I240" s="1843" t="s">
        <v>1249</v>
      </c>
      <c r="J240" s="1842">
        <v>240</v>
      </c>
      <c r="K240" s="2290">
        <v>150</v>
      </c>
      <c r="L240" s="2291">
        <v>188</v>
      </c>
      <c r="M240" s="2626">
        <v>75</v>
      </c>
      <c r="N240" s="2627">
        <v>65</v>
      </c>
      <c r="O240" s="2628">
        <v>40</v>
      </c>
      <c r="P240" s="2628">
        <v>50</v>
      </c>
      <c r="Q240" s="2628">
        <v>65</v>
      </c>
      <c r="R240" s="2628">
        <v>25</v>
      </c>
      <c r="S240" s="2629" t="s">
        <v>226</v>
      </c>
      <c r="T240" s="2382">
        <v>330</v>
      </c>
      <c r="U240" s="2383">
        <v>275</v>
      </c>
      <c r="V240" s="2378">
        <v>175</v>
      </c>
      <c r="W240" s="2379">
        <v>220</v>
      </c>
      <c r="X240" s="2378">
        <v>275</v>
      </c>
      <c r="Y240" s="2259">
        <v>110</v>
      </c>
      <c r="Z240" s="2384" t="s">
        <v>226</v>
      </c>
      <c r="AA240" s="2394"/>
      <c r="AB240" s="2394"/>
      <c r="AC240" s="2394"/>
      <c r="AD240" s="2394"/>
      <c r="AE240" s="2394"/>
      <c r="AF240" s="2394"/>
      <c r="AG240" s="2394"/>
      <c r="AH240" s="2394"/>
      <c r="AI240" s="2392"/>
      <c r="AJ240" s="2392"/>
      <c r="AL240" s="2396"/>
      <c r="AM240" s="2397"/>
      <c r="AN240" s="2396"/>
      <c r="AO240" s="2397"/>
      <c r="AP240" s="2396"/>
      <c r="AQ240" s="2397"/>
      <c r="BL240" s="2398"/>
      <c r="BO240" s="2392"/>
    </row>
    <row r="241" spans="1:67" s="2393" customFormat="1" ht="21" customHeight="1">
      <c r="A241" s="2392"/>
      <c r="C241" s="2248" t="s">
        <v>1251</v>
      </c>
      <c r="D241" s="2403"/>
      <c r="E241" s="2400" t="s">
        <v>1066</v>
      </c>
      <c r="F241" s="1842">
        <v>170</v>
      </c>
      <c r="G241" s="1843" t="s">
        <v>1058</v>
      </c>
      <c r="H241" s="1842">
        <v>200</v>
      </c>
      <c r="I241" s="1843" t="s">
        <v>1152</v>
      </c>
      <c r="J241" s="1842">
        <v>235</v>
      </c>
      <c r="K241" s="2290">
        <v>100</v>
      </c>
      <c r="L241" s="2291">
        <v>125</v>
      </c>
      <c r="M241" s="2626">
        <v>60</v>
      </c>
      <c r="N241" s="2627">
        <v>50</v>
      </c>
      <c r="O241" s="2628">
        <v>30</v>
      </c>
      <c r="P241" s="2628">
        <v>40</v>
      </c>
      <c r="Q241" s="2628">
        <v>50</v>
      </c>
      <c r="R241" s="2628">
        <v>20</v>
      </c>
      <c r="S241" s="2629" t="s">
        <v>226</v>
      </c>
      <c r="T241" s="2382">
        <v>210</v>
      </c>
      <c r="U241" s="2383">
        <v>175</v>
      </c>
      <c r="V241" s="2378">
        <v>110</v>
      </c>
      <c r="W241" s="2379">
        <v>140</v>
      </c>
      <c r="X241" s="2378">
        <v>175</v>
      </c>
      <c r="Y241" s="2259">
        <v>70</v>
      </c>
      <c r="Z241" s="2384" t="s">
        <v>226</v>
      </c>
      <c r="AA241" s="2394"/>
      <c r="AB241" s="2394"/>
      <c r="AC241" s="2394"/>
      <c r="AD241" s="2394"/>
      <c r="AE241" s="2394"/>
      <c r="AF241" s="2394"/>
      <c r="AG241" s="2394"/>
      <c r="AH241" s="2394"/>
      <c r="AI241" s="2392"/>
      <c r="AJ241" s="2392"/>
      <c r="AL241" s="2396"/>
      <c r="AM241" s="2397"/>
      <c r="AN241" s="2396"/>
      <c r="AO241" s="2397"/>
      <c r="AP241" s="2396"/>
      <c r="AQ241" s="2397"/>
      <c r="BL241" s="2398"/>
      <c r="BO241" s="2392"/>
    </row>
    <row r="242" spans="1:67" s="2393" customFormat="1" ht="21" customHeight="1">
      <c r="A242" s="2392"/>
      <c r="C242" s="2248" t="s">
        <v>1252</v>
      </c>
      <c r="D242" s="2403"/>
      <c r="E242" s="2400" t="s">
        <v>1165</v>
      </c>
      <c r="F242" s="1842">
        <v>210</v>
      </c>
      <c r="G242" s="1843" t="s">
        <v>1168</v>
      </c>
      <c r="H242" s="1842">
        <v>250</v>
      </c>
      <c r="I242" s="1843" t="s">
        <v>1169</v>
      </c>
      <c r="J242" s="1842">
        <v>300</v>
      </c>
      <c r="K242" s="2290">
        <v>200</v>
      </c>
      <c r="L242" s="2291">
        <v>250</v>
      </c>
      <c r="M242" s="2626">
        <v>75</v>
      </c>
      <c r="N242" s="2627">
        <v>65</v>
      </c>
      <c r="O242" s="2628">
        <v>40</v>
      </c>
      <c r="P242" s="2628">
        <v>50</v>
      </c>
      <c r="Q242" s="2628">
        <v>65</v>
      </c>
      <c r="R242" s="2628">
        <v>25</v>
      </c>
      <c r="S242" s="2629" t="s">
        <v>226</v>
      </c>
      <c r="T242" s="2382">
        <v>270</v>
      </c>
      <c r="U242" s="2383">
        <v>225</v>
      </c>
      <c r="V242" s="2378">
        <v>145</v>
      </c>
      <c r="W242" s="2379">
        <v>180</v>
      </c>
      <c r="X242" s="2378">
        <v>225</v>
      </c>
      <c r="Y242" s="2259">
        <v>90</v>
      </c>
      <c r="Z242" s="2384" t="s">
        <v>226</v>
      </c>
      <c r="AA242" s="2394"/>
      <c r="AB242" s="2394"/>
      <c r="AC242" s="2394"/>
      <c r="AD242" s="2394"/>
      <c r="AE242" s="2394"/>
      <c r="AF242" s="2394"/>
      <c r="AG242" s="2394"/>
      <c r="AH242" s="2394"/>
      <c r="AI242" s="2392"/>
      <c r="AJ242" s="2392"/>
      <c r="AL242" s="2396"/>
      <c r="AM242" s="2397"/>
      <c r="AN242" s="2396"/>
      <c r="AO242" s="2397"/>
      <c r="AP242" s="2396"/>
      <c r="AQ242" s="2397"/>
      <c r="BL242" s="2398"/>
      <c r="BO242" s="2392"/>
    </row>
    <row r="243" spans="1:67" s="2393" customFormat="1" ht="21" customHeight="1">
      <c r="A243" s="2392"/>
      <c r="C243" s="2248" t="s">
        <v>1253</v>
      </c>
      <c r="D243" s="2403"/>
      <c r="E243" s="2400" t="s">
        <v>1254</v>
      </c>
      <c r="F243" s="1842">
        <v>165</v>
      </c>
      <c r="G243" s="1843" t="s">
        <v>1255</v>
      </c>
      <c r="H243" s="1842">
        <v>195</v>
      </c>
      <c r="I243" s="1843" t="s">
        <v>1256</v>
      </c>
      <c r="J243" s="1842">
        <v>235</v>
      </c>
      <c r="K243" s="2290">
        <v>155</v>
      </c>
      <c r="L243" s="2291">
        <v>194</v>
      </c>
      <c r="M243" s="2626">
        <v>90</v>
      </c>
      <c r="N243" s="2627">
        <v>75</v>
      </c>
      <c r="O243" s="2628">
        <v>50</v>
      </c>
      <c r="P243" s="2628">
        <v>60</v>
      </c>
      <c r="Q243" s="2628">
        <v>75</v>
      </c>
      <c r="R243" s="2628">
        <v>30</v>
      </c>
      <c r="S243" s="2629" t="s">
        <v>226</v>
      </c>
      <c r="T243" s="2382">
        <v>235</v>
      </c>
      <c r="U243" s="2383">
        <v>195</v>
      </c>
      <c r="V243" s="2378">
        <v>125</v>
      </c>
      <c r="W243" s="2379">
        <v>155</v>
      </c>
      <c r="X243" s="2378">
        <v>195</v>
      </c>
      <c r="Y243" s="2259">
        <v>80</v>
      </c>
      <c r="Z243" s="2384" t="s">
        <v>226</v>
      </c>
      <c r="AA243" s="2394"/>
      <c r="AB243" s="2394"/>
      <c r="AC243" s="2394"/>
      <c r="AD243" s="2394"/>
      <c r="AE243" s="2394"/>
      <c r="AF243" s="2394"/>
      <c r="AG243" s="2394"/>
      <c r="AH243" s="2394"/>
      <c r="AI243" s="2392"/>
      <c r="AJ243" s="2392"/>
      <c r="AL243" s="2396"/>
      <c r="AM243" s="2397"/>
      <c r="AN243" s="2396"/>
      <c r="AO243" s="2397"/>
      <c r="AP243" s="2396"/>
      <c r="AQ243" s="2397"/>
      <c r="BL243" s="2398"/>
      <c r="BO243" s="2392"/>
    </row>
    <row r="244" spans="1:67" s="2393" customFormat="1" ht="21" customHeight="1">
      <c r="A244" s="2392"/>
      <c r="C244" s="2248" t="s">
        <v>1257</v>
      </c>
      <c r="D244" s="2403"/>
      <c r="E244" s="2400" t="s">
        <v>1023</v>
      </c>
      <c r="F244" s="1842">
        <v>210</v>
      </c>
      <c r="G244" s="1843" t="s">
        <v>1024</v>
      </c>
      <c r="H244" s="1842">
        <v>250</v>
      </c>
      <c r="I244" s="1843" t="s">
        <v>1174</v>
      </c>
      <c r="J244" s="1842">
        <v>300</v>
      </c>
      <c r="K244" s="2290">
        <v>200</v>
      </c>
      <c r="L244" s="2291">
        <v>250</v>
      </c>
      <c r="M244" s="2626">
        <v>120</v>
      </c>
      <c r="N244" s="2627">
        <v>100</v>
      </c>
      <c r="O244" s="2628">
        <v>65</v>
      </c>
      <c r="P244" s="2628">
        <v>80</v>
      </c>
      <c r="Q244" s="2628">
        <v>100</v>
      </c>
      <c r="R244" s="2628">
        <v>40</v>
      </c>
      <c r="S244" s="2629" t="s">
        <v>226</v>
      </c>
      <c r="T244" s="2382">
        <v>420</v>
      </c>
      <c r="U244" s="2383">
        <v>350</v>
      </c>
      <c r="V244" s="2378">
        <v>225</v>
      </c>
      <c r="W244" s="2379">
        <v>280</v>
      </c>
      <c r="X244" s="2378">
        <v>350</v>
      </c>
      <c r="Y244" s="2259">
        <v>140</v>
      </c>
      <c r="Z244" s="2384" t="s">
        <v>226</v>
      </c>
      <c r="AA244" s="2394"/>
      <c r="AB244" s="2394"/>
      <c r="AC244" s="2394"/>
      <c r="AD244" s="2394"/>
      <c r="AE244" s="2394"/>
      <c r="AF244" s="2394"/>
      <c r="AG244" s="2394"/>
      <c r="AH244" s="2394"/>
      <c r="AI244" s="2392"/>
      <c r="AJ244" s="2392"/>
      <c r="AL244" s="2396"/>
      <c r="AM244" s="2397"/>
      <c r="AN244" s="2396"/>
      <c r="AO244" s="2397"/>
      <c r="AP244" s="2396"/>
      <c r="AQ244" s="2397"/>
      <c r="BL244" s="2398"/>
      <c r="BO244" s="2392"/>
    </row>
    <row r="245" spans="1:67" s="2393" customFormat="1" ht="21" customHeight="1">
      <c r="A245" s="2392"/>
      <c r="C245" s="2248" t="s">
        <v>1258</v>
      </c>
      <c r="D245" s="2403"/>
      <c r="E245" s="2400" t="s">
        <v>1150</v>
      </c>
      <c r="F245" s="1842">
        <v>160</v>
      </c>
      <c r="G245" s="1843" t="s">
        <v>1097</v>
      </c>
      <c r="H245" s="1842">
        <v>190</v>
      </c>
      <c r="I245" s="1843" t="s">
        <v>1229</v>
      </c>
      <c r="J245" s="1842">
        <v>230</v>
      </c>
      <c r="K245" s="2290">
        <v>140</v>
      </c>
      <c r="L245" s="2291">
        <v>175</v>
      </c>
      <c r="M245" s="2626">
        <v>90</v>
      </c>
      <c r="N245" s="2627">
        <v>75</v>
      </c>
      <c r="O245" s="2628">
        <v>50</v>
      </c>
      <c r="P245" s="2628">
        <v>60</v>
      </c>
      <c r="Q245" s="2628">
        <v>75</v>
      </c>
      <c r="R245" s="2628">
        <v>30</v>
      </c>
      <c r="S245" s="2629" t="s">
        <v>226</v>
      </c>
      <c r="T245" s="2382">
        <v>360</v>
      </c>
      <c r="U245" s="2383">
        <v>300</v>
      </c>
      <c r="V245" s="2378">
        <v>190</v>
      </c>
      <c r="W245" s="2379">
        <v>240</v>
      </c>
      <c r="X245" s="2378">
        <v>300</v>
      </c>
      <c r="Y245" s="2259">
        <v>120</v>
      </c>
      <c r="Z245" s="2384" t="s">
        <v>226</v>
      </c>
      <c r="AA245" s="2394"/>
      <c r="AB245" s="2394"/>
      <c r="AC245" s="2394"/>
      <c r="AD245" s="2394"/>
      <c r="AE245" s="2394"/>
      <c r="AF245" s="2394"/>
      <c r="AG245" s="2394"/>
      <c r="AH245" s="2394"/>
      <c r="AI245" s="2392"/>
      <c r="AJ245" s="2392"/>
      <c r="AL245" s="2396"/>
      <c r="AM245" s="2397"/>
      <c r="AN245" s="2396"/>
      <c r="AO245" s="2397"/>
      <c r="AP245" s="2396"/>
      <c r="AQ245" s="2397"/>
      <c r="BL245" s="2398"/>
      <c r="BO245" s="2392"/>
    </row>
    <row r="246" spans="1:67" s="2393" customFormat="1" ht="21" customHeight="1">
      <c r="A246" s="2392"/>
      <c r="C246" s="2248" t="s">
        <v>1259</v>
      </c>
      <c r="D246" s="2403"/>
      <c r="E246" s="2400" t="s">
        <v>226</v>
      </c>
      <c r="F246" s="2173" t="s">
        <v>1819</v>
      </c>
      <c r="G246" s="1843" t="s">
        <v>226</v>
      </c>
      <c r="H246" s="2173" t="s">
        <v>1819</v>
      </c>
      <c r="I246" s="1843" t="s">
        <v>226</v>
      </c>
      <c r="J246" s="2173" t="s">
        <v>1819</v>
      </c>
      <c r="K246" s="2386">
        <v>0</v>
      </c>
      <c r="L246" s="2387">
        <v>0</v>
      </c>
      <c r="M246" s="2626">
        <v>0</v>
      </c>
      <c r="N246" s="2627">
        <v>0</v>
      </c>
      <c r="O246" s="2628">
        <v>0</v>
      </c>
      <c r="P246" s="2628">
        <v>0</v>
      </c>
      <c r="Q246" s="2628">
        <v>0</v>
      </c>
      <c r="R246" s="2628" t="s">
        <v>1260</v>
      </c>
      <c r="S246" s="2629" t="s">
        <v>1260</v>
      </c>
      <c r="T246" s="2382">
        <v>0</v>
      </c>
      <c r="U246" s="2383">
        <v>0</v>
      </c>
      <c r="V246" s="2378">
        <v>0</v>
      </c>
      <c r="W246" s="2379">
        <v>0</v>
      </c>
      <c r="X246" s="2378">
        <v>0</v>
      </c>
      <c r="Y246" s="2259" t="s">
        <v>226</v>
      </c>
      <c r="Z246" s="2384" t="s">
        <v>1260</v>
      </c>
      <c r="AA246" s="2394"/>
      <c r="AB246" s="2394"/>
      <c r="AC246" s="2394"/>
      <c r="AD246" s="2394"/>
      <c r="AE246" s="2394"/>
      <c r="AF246" s="2394"/>
      <c r="AG246" s="2394"/>
      <c r="AH246" s="2394"/>
      <c r="AI246" s="2392"/>
      <c r="AJ246" s="2392"/>
      <c r="AL246" s="2396"/>
      <c r="AM246" s="2397"/>
      <c r="AN246" s="2396"/>
      <c r="AO246" s="2397"/>
      <c r="AP246" s="2396"/>
      <c r="AQ246" s="2397"/>
      <c r="BL246" s="2398"/>
      <c r="BO246" s="2392"/>
    </row>
    <row r="247" spans="1:67" s="2393" customFormat="1" ht="21" customHeight="1">
      <c r="A247" s="2392"/>
      <c r="C247" s="2248" t="s">
        <v>1261</v>
      </c>
      <c r="D247" s="2403"/>
      <c r="E247" s="2400" t="s">
        <v>1114</v>
      </c>
      <c r="F247" s="1842">
        <v>120</v>
      </c>
      <c r="G247" s="1843" t="s">
        <v>1262</v>
      </c>
      <c r="H247" s="1842">
        <v>140</v>
      </c>
      <c r="I247" s="1843" t="s">
        <v>1263</v>
      </c>
      <c r="J247" s="1842">
        <v>165</v>
      </c>
      <c r="K247" s="2290">
        <v>100</v>
      </c>
      <c r="L247" s="2291">
        <v>125</v>
      </c>
      <c r="M247" s="2626">
        <v>90</v>
      </c>
      <c r="N247" s="2627">
        <v>75</v>
      </c>
      <c r="O247" s="2628">
        <v>50</v>
      </c>
      <c r="P247" s="2628">
        <v>60</v>
      </c>
      <c r="Q247" s="2628">
        <v>75</v>
      </c>
      <c r="R247" s="2628">
        <v>30</v>
      </c>
      <c r="S247" s="2629" t="s">
        <v>226</v>
      </c>
      <c r="T247" s="2382">
        <v>210</v>
      </c>
      <c r="U247" s="2383">
        <v>175</v>
      </c>
      <c r="V247" s="2378">
        <v>110</v>
      </c>
      <c r="W247" s="2379">
        <v>140</v>
      </c>
      <c r="X247" s="2378">
        <v>175</v>
      </c>
      <c r="Y247" s="2259">
        <v>70</v>
      </c>
      <c r="Z247" s="2384" t="s">
        <v>226</v>
      </c>
      <c r="AA247" s="2394"/>
      <c r="AB247" s="2394"/>
      <c r="AC247" s="2394"/>
      <c r="AD247" s="2394"/>
      <c r="AE247" s="2394"/>
      <c r="AF247" s="2394"/>
      <c r="AG247" s="2394"/>
      <c r="AH247" s="2394"/>
      <c r="AI247" s="2392"/>
      <c r="AJ247" s="2392"/>
      <c r="AL247" s="2396"/>
      <c r="AM247" s="2397"/>
      <c r="AN247" s="2396"/>
      <c r="AO247" s="2397"/>
      <c r="AP247" s="2396"/>
      <c r="AQ247" s="2397"/>
      <c r="BL247" s="2398"/>
      <c r="BO247" s="2392"/>
    </row>
    <row r="248" spans="1:67" s="2393" customFormat="1" ht="21" customHeight="1">
      <c r="A248" s="2392"/>
      <c r="C248" s="2248" t="s">
        <v>1264</v>
      </c>
      <c r="D248" s="2403"/>
      <c r="E248" s="2400" t="s">
        <v>1150</v>
      </c>
      <c r="F248" s="1842">
        <v>200</v>
      </c>
      <c r="G248" s="1843" t="s">
        <v>1151</v>
      </c>
      <c r="H248" s="1842">
        <v>235</v>
      </c>
      <c r="I248" s="1843" t="s">
        <v>1152</v>
      </c>
      <c r="J248" s="1842">
        <v>280</v>
      </c>
      <c r="K248" s="2290">
        <v>185</v>
      </c>
      <c r="L248" s="2291">
        <v>231</v>
      </c>
      <c r="M248" s="2626">
        <v>75</v>
      </c>
      <c r="N248" s="2627">
        <v>65</v>
      </c>
      <c r="O248" s="2628">
        <v>40</v>
      </c>
      <c r="P248" s="2628">
        <v>50</v>
      </c>
      <c r="Q248" s="2628">
        <v>65</v>
      </c>
      <c r="R248" s="2628">
        <v>25</v>
      </c>
      <c r="S248" s="2629" t="s">
        <v>226</v>
      </c>
      <c r="T248" s="2382"/>
      <c r="U248" s="2383"/>
      <c r="V248" s="2378">
        <v>175</v>
      </c>
      <c r="W248" s="2379">
        <v>220</v>
      </c>
      <c r="X248" s="2378">
        <v>275</v>
      </c>
      <c r="Y248" s="2259"/>
      <c r="Z248" s="2384"/>
      <c r="AA248" s="2394"/>
      <c r="AB248" s="2394"/>
      <c r="AC248" s="2394"/>
      <c r="AD248" s="2394"/>
      <c r="AE248" s="2394"/>
      <c r="AF248" s="2394"/>
      <c r="AG248" s="2394"/>
      <c r="AH248" s="2394"/>
      <c r="AI248" s="2392"/>
      <c r="AJ248" s="2392"/>
      <c r="AL248" s="2396"/>
      <c r="AM248" s="2397"/>
      <c r="AN248" s="2396"/>
      <c r="AO248" s="2397"/>
      <c r="AP248" s="2396"/>
      <c r="AQ248" s="2397"/>
      <c r="BL248" s="2398"/>
      <c r="BO248" s="2392"/>
    </row>
    <row r="249" spans="1:67" s="2393" customFormat="1" ht="21" customHeight="1">
      <c r="A249" s="2392"/>
      <c r="C249" s="2248" t="s">
        <v>1265</v>
      </c>
      <c r="D249" s="2403"/>
      <c r="E249" s="2400" t="s">
        <v>1141</v>
      </c>
      <c r="F249" s="1842">
        <v>150</v>
      </c>
      <c r="G249" s="1843" t="s">
        <v>1924</v>
      </c>
      <c r="H249" s="1842">
        <v>180</v>
      </c>
      <c r="I249" s="1843" t="s">
        <v>1911</v>
      </c>
      <c r="J249" s="1842">
        <v>215</v>
      </c>
      <c r="K249" s="2290">
        <v>140</v>
      </c>
      <c r="L249" s="2291">
        <v>175</v>
      </c>
      <c r="M249" s="2626">
        <v>60</v>
      </c>
      <c r="N249" s="2627">
        <v>50</v>
      </c>
      <c r="O249" s="2628">
        <v>30</v>
      </c>
      <c r="P249" s="2628">
        <v>40</v>
      </c>
      <c r="Q249" s="2628">
        <v>50</v>
      </c>
      <c r="R249" s="2628">
        <v>20</v>
      </c>
      <c r="S249" s="2629" t="s">
        <v>226</v>
      </c>
      <c r="T249" s="2382">
        <v>210</v>
      </c>
      <c r="U249" s="2383">
        <v>175</v>
      </c>
      <c r="V249" s="2378">
        <v>110</v>
      </c>
      <c r="W249" s="2379">
        <v>140</v>
      </c>
      <c r="X249" s="2378">
        <v>175</v>
      </c>
      <c r="Y249" s="2259">
        <v>70</v>
      </c>
      <c r="Z249" s="2384" t="s">
        <v>226</v>
      </c>
      <c r="AA249" s="2394"/>
      <c r="AB249" s="2394"/>
      <c r="AC249" s="2394"/>
      <c r="AD249" s="2394"/>
      <c r="AE249" s="2394"/>
      <c r="AF249" s="2394"/>
      <c r="AG249" s="2394"/>
      <c r="AH249" s="2394"/>
      <c r="AI249" s="2392"/>
      <c r="AJ249" s="2392"/>
      <c r="AL249" s="2396"/>
      <c r="AM249" s="2397"/>
      <c r="AN249" s="2396"/>
      <c r="AO249" s="2397"/>
      <c r="AP249" s="2396"/>
      <c r="AQ249" s="2397"/>
      <c r="BL249" s="2398"/>
      <c r="BO249" s="2392"/>
    </row>
    <row r="250" spans="1:67" s="2393" customFormat="1" ht="21" customHeight="1">
      <c r="A250" s="2392"/>
      <c r="C250" s="2248" t="s">
        <v>1267</v>
      </c>
      <c r="D250" s="2403"/>
      <c r="E250" s="2400" t="s">
        <v>1150</v>
      </c>
      <c r="F250" s="1842">
        <v>190</v>
      </c>
      <c r="G250" s="1843" t="s">
        <v>1266</v>
      </c>
      <c r="H250" s="1842">
        <v>230</v>
      </c>
      <c r="I250" s="1843" t="s">
        <v>1256</v>
      </c>
      <c r="J250" s="1842">
        <v>280</v>
      </c>
      <c r="K250" s="2290">
        <v>190</v>
      </c>
      <c r="L250" s="2291">
        <v>238</v>
      </c>
      <c r="M250" s="2626">
        <v>60</v>
      </c>
      <c r="N250" s="2627">
        <v>50</v>
      </c>
      <c r="O250" s="2628">
        <v>30</v>
      </c>
      <c r="P250" s="2628">
        <v>40</v>
      </c>
      <c r="Q250" s="2628">
        <v>50</v>
      </c>
      <c r="R250" s="2628">
        <v>20</v>
      </c>
      <c r="S250" s="2629" t="s">
        <v>226</v>
      </c>
      <c r="T250" s="2382">
        <v>270</v>
      </c>
      <c r="U250" s="2383">
        <v>225</v>
      </c>
      <c r="V250" s="2378">
        <v>145</v>
      </c>
      <c r="W250" s="2379">
        <v>180</v>
      </c>
      <c r="X250" s="2378">
        <v>225</v>
      </c>
      <c r="Y250" s="2259">
        <v>90</v>
      </c>
      <c r="Z250" s="2384" t="s">
        <v>226</v>
      </c>
      <c r="AA250" s="2394"/>
      <c r="AB250" s="2394"/>
      <c r="AC250" s="2394"/>
      <c r="AD250" s="2394"/>
      <c r="AE250" s="2394"/>
      <c r="AF250" s="2394"/>
      <c r="AG250" s="2394"/>
      <c r="AH250" s="2394"/>
      <c r="AI250" s="2392"/>
      <c r="AJ250" s="2392"/>
      <c r="AL250" s="2396"/>
      <c r="AM250" s="2397"/>
      <c r="AN250" s="2396"/>
      <c r="AO250" s="2397"/>
      <c r="AP250" s="2396"/>
      <c r="AQ250" s="2397"/>
      <c r="BL250" s="2398"/>
      <c r="BO250" s="2392"/>
    </row>
    <row r="251" spans="1:67" s="2393" customFormat="1" ht="21" customHeight="1">
      <c r="A251" s="2392"/>
      <c r="C251" s="2248" t="s">
        <v>1268</v>
      </c>
      <c r="D251" s="2403"/>
      <c r="E251" s="2400" t="s">
        <v>1056</v>
      </c>
      <c r="F251" s="1842">
        <v>190</v>
      </c>
      <c r="G251" s="1843" t="s">
        <v>1925</v>
      </c>
      <c r="H251" s="1842">
        <v>225</v>
      </c>
      <c r="I251" s="1843" t="s">
        <v>1926</v>
      </c>
      <c r="J251" s="1842">
        <v>270</v>
      </c>
      <c r="K251" s="2385" t="s">
        <v>1086</v>
      </c>
      <c r="L251" s="2291"/>
      <c r="M251" s="2626">
        <v>60</v>
      </c>
      <c r="N251" s="2627">
        <v>50</v>
      </c>
      <c r="O251" s="2628">
        <v>30</v>
      </c>
      <c r="P251" s="2628">
        <v>40</v>
      </c>
      <c r="Q251" s="2628">
        <v>50</v>
      </c>
      <c r="R251" s="2628">
        <v>20</v>
      </c>
      <c r="S251" s="2629" t="s">
        <v>226</v>
      </c>
      <c r="T251" s="2382">
        <v>270</v>
      </c>
      <c r="U251" s="2383">
        <v>225</v>
      </c>
      <c r="V251" s="2378">
        <v>145</v>
      </c>
      <c r="W251" s="2379">
        <v>180</v>
      </c>
      <c r="X251" s="2378">
        <v>225</v>
      </c>
      <c r="Y251" s="2259">
        <v>90</v>
      </c>
      <c r="Z251" s="2384" t="s">
        <v>226</v>
      </c>
      <c r="AA251" s="2394"/>
      <c r="AB251" s="2394"/>
      <c r="AC251" s="2394"/>
      <c r="AD251" s="2394"/>
      <c r="AE251" s="2394"/>
      <c r="AF251" s="2394"/>
      <c r="AG251" s="2394"/>
      <c r="AH251" s="2394"/>
      <c r="AI251" s="2392"/>
      <c r="AJ251" s="2392"/>
      <c r="AL251" s="2396"/>
      <c r="AM251" s="2397"/>
      <c r="AN251" s="2396"/>
      <c r="AO251" s="2397"/>
      <c r="AP251" s="2396"/>
      <c r="AQ251" s="2397"/>
      <c r="BL251" s="2398"/>
      <c r="BO251" s="2392"/>
    </row>
    <row r="252" spans="1:67" s="2393" customFormat="1" ht="21" customHeight="1">
      <c r="A252" s="2392"/>
      <c r="C252" s="2248" t="s">
        <v>1269</v>
      </c>
      <c r="D252" s="2403"/>
      <c r="E252" s="2400" t="s">
        <v>1102</v>
      </c>
      <c r="F252" s="1842">
        <v>240</v>
      </c>
      <c r="G252" s="1843" t="s">
        <v>1270</v>
      </c>
      <c r="H252" s="1842">
        <v>290</v>
      </c>
      <c r="I252" s="1843" t="s">
        <v>1106</v>
      </c>
      <c r="J252" s="1842">
        <v>355</v>
      </c>
      <c r="K252" s="2290">
        <v>250</v>
      </c>
      <c r="L252" s="2291">
        <v>313</v>
      </c>
      <c r="M252" s="2626">
        <v>75</v>
      </c>
      <c r="N252" s="2627">
        <v>65</v>
      </c>
      <c r="O252" s="2628">
        <v>40</v>
      </c>
      <c r="P252" s="2628">
        <v>50</v>
      </c>
      <c r="Q252" s="2628">
        <v>65</v>
      </c>
      <c r="R252" s="2628">
        <v>25</v>
      </c>
      <c r="S252" s="2629" t="s">
        <v>226</v>
      </c>
      <c r="T252" s="2382">
        <v>240</v>
      </c>
      <c r="U252" s="2383">
        <v>200</v>
      </c>
      <c r="V252" s="2378">
        <v>130</v>
      </c>
      <c r="W252" s="2379">
        <v>160</v>
      </c>
      <c r="X252" s="2378">
        <v>200</v>
      </c>
      <c r="Y252" s="2259">
        <v>80</v>
      </c>
      <c r="Z252" s="2384" t="s">
        <v>226</v>
      </c>
      <c r="AA252" s="2394"/>
      <c r="AB252" s="2394"/>
      <c r="AC252" s="2394"/>
      <c r="AD252" s="2394"/>
      <c r="AE252" s="2394"/>
      <c r="AF252" s="2394"/>
      <c r="AG252" s="2394"/>
      <c r="AH252" s="2394"/>
      <c r="AI252" s="2392"/>
      <c r="AJ252" s="2392"/>
      <c r="AL252" s="2396"/>
      <c r="AM252" s="2397"/>
      <c r="AN252" s="2396"/>
      <c r="AO252" s="2397"/>
      <c r="AP252" s="2396"/>
      <c r="AQ252" s="2397"/>
      <c r="BL252" s="2398"/>
      <c r="BO252" s="2392"/>
    </row>
    <row r="253" spans="1:67" s="2393" customFormat="1" ht="21" customHeight="1">
      <c r="A253" s="2392"/>
      <c r="C253" s="2248" t="s">
        <v>1271</v>
      </c>
      <c r="D253" s="2403"/>
      <c r="E253" s="2400" t="s">
        <v>1068</v>
      </c>
      <c r="F253" s="1842">
        <v>135</v>
      </c>
      <c r="G253" s="1843" t="s">
        <v>1079</v>
      </c>
      <c r="H253" s="1842">
        <v>160</v>
      </c>
      <c r="I253" s="1843" t="s">
        <v>1229</v>
      </c>
      <c r="J253" s="1842">
        <v>190</v>
      </c>
      <c r="K253" s="2290">
        <v>120</v>
      </c>
      <c r="L253" s="2291">
        <v>150</v>
      </c>
      <c r="M253" s="2626">
        <v>60</v>
      </c>
      <c r="N253" s="2627">
        <v>50</v>
      </c>
      <c r="O253" s="2628">
        <v>30</v>
      </c>
      <c r="P253" s="2628">
        <v>40</v>
      </c>
      <c r="Q253" s="2628">
        <v>50</v>
      </c>
      <c r="R253" s="2628">
        <v>20</v>
      </c>
      <c r="S253" s="2629" t="s">
        <v>226</v>
      </c>
      <c r="T253" s="2382">
        <v>225</v>
      </c>
      <c r="U253" s="2383">
        <v>190</v>
      </c>
      <c r="V253" s="2378">
        <v>120</v>
      </c>
      <c r="W253" s="2379">
        <v>150</v>
      </c>
      <c r="X253" s="2378">
        <v>190</v>
      </c>
      <c r="Y253" s="2259">
        <v>75</v>
      </c>
      <c r="Z253" s="2384" t="s">
        <v>226</v>
      </c>
      <c r="AA253" s="2394"/>
      <c r="AB253" s="2394"/>
      <c r="AC253" s="2394"/>
      <c r="AD253" s="2394"/>
      <c r="AE253" s="2394"/>
      <c r="AF253" s="2394"/>
      <c r="AG253" s="2394"/>
      <c r="AH253" s="2394"/>
      <c r="AI253" s="2392"/>
      <c r="AJ253" s="2392"/>
      <c r="AL253" s="2396"/>
      <c r="AM253" s="2397"/>
      <c r="AN253" s="2396"/>
      <c r="AO253" s="2397"/>
      <c r="AP253" s="2396"/>
      <c r="AQ253" s="2397"/>
      <c r="BL253" s="2398"/>
      <c r="BO253" s="2392"/>
    </row>
    <row r="254" spans="1:67" s="2393" customFormat="1" ht="21" customHeight="1">
      <c r="A254" s="2392"/>
      <c r="C254" s="2248" t="s">
        <v>1272</v>
      </c>
      <c r="D254" s="2403"/>
      <c r="E254" s="2400" t="s">
        <v>1273</v>
      </c>
      <c r="F254" s="1842">
        <v>150</v>
      </c>
      <c r="G254" s="1843" t="s">
        <v>1274</v>
      </c>
      <c r="H254" s="1842">
        <v>180</v>
      </c>
      <c r="I254" s="1843" t="s">
        <v>1275</v>
      </c>
      <c r="J254" s="1842">
        <v>215</v>
      </c>
      <c r="K254" s="2290">
        <v>140</v>
      </c>
      <c r="L254" s="2291">
        <v>175</v>
      </c>
      <c r="M254" s="2626">
        <v>60</v>
      </c>
      <c r="N254" s="2627">
        <v>50</v>
      </c>
      <c r="O254" s="2628">
        <v>30</v>
      </c>
      <c r="P254" s="2628">
        <v>40</v>
      </c>
      <c r="Q254" s="2628">
        <v>50</v>
      </c>
      <c r="R254" s="2628">
        <v>20</v>
      </c>
      <c r="S254" s="2629" t="s">
        <v>226</v>
      </c>
      <c r="T254" s="2382">
        <v>225</v>
      </c>
      <c r="U254" s="2383">
        <v>190</v>
      </c>
      <c r="V254" s="2378">
        <v>120</v>
      </c>
      <c r="W254" s="2379">
        <v>150</v>
      </c>
      <c r="X254" s="2378">
        <v>190</v>
      </c>
      <c r="Y254" s="2259">
        <v>75</v>
      </c>
      <c r="Z254" s="2384" t="s">
        <v>226</v>
      </c>
      <c r="AA254" s="2394"/>
      <c r="AB254" s="2394"/>
      <c r="AC254" s="2394"/>
      <c r="AD254" s="2394"/>
      <c r="AE254" s="2394"/>
      <c r="AF254" s="2394"/>
      <c r="AG254" s="2394"/>
      <c r="AH254" s="2394"/>
      <c r="AI254" s="2392"/>
      <c r="AJ254" s="2392"/>
      <c r="AL254" s="2396"/>
      <c r="AM254" s="2397"/>
      <c r="AN254" s="2396"/>
      <c r="AO254" s="2397"/>
      <c r="AP254" s="2396"/>
      <c r="AQ254" s="2397"/>
      <c r="BL254" s="2398"/>
      <c r="BO254" s="2392"/>
    </row>
    <row r="255" spans="1:67" s="2393" customFormat="1" ht="21" customHeight="1">
      <c r="A255" s="2392"/>
      <c r="C255" s="2248" t="s">
        <v>1276</v>
      </c>
      <c r="D255" s="2403"/>
      <c r="E255" s="2400" t="s">
        <v>1154</v>
      </c>
      <c r="F255" s="1842">
        <v>230</v>
      </c>
      <c r="G255" s="1843" t="s">
        <v>1277</v>
      </c>
      <c r="H255" s="1842">
        <v>275</v>
      </c>
      <c r="I255" s="1843" t="s">
        <v>1249</v>
      </c>
      <c r="J255" s="1842">
        <v>330</v>
      </c>
      <c r="K255" s="2290">
        <v>225</v>
      </c>
      <c r="L255" s="2291">
        <v>281</v>
      </c>
      <c r="M255" s="2626">
        <v>60</v>
      </c>
      <c r="N255" s="2627">
        <v>50</v>
      </c>
      <c r="O255" s="2628">
        <v>30</v>
      </c>
      <c r="P255" s="2628">
        <v>40</v>
      </c>
      <c r="Q255" s="2628">
        <v>50</v>
      </c>
      <c r="R255" s="2628">
        <v>20</v>
      </c>
      <c r="S255" s="2629" t="s">
        <v>226</v>
      </c>
      <c r="T255" s="2382">
        <v>420</v>
      </c>
      <c r="U255" s="2383">
        <v>350</v>
      </c>
      <c r="V255" s="2378">
        <v>225</v>
      </c>
      <c r="W255" s="2379">
        <v>280</v>
      </c>
      <c r="X255" s="2378">
        <v>350</v>
      </c>
      <c r="Y255" s="2259">
        <v>140</v>
      </c>
      <c r="Z255" s="2384" t="s">
        <v>226</v>
      </c>
      <c r="AA255" s="2394"/>
      <c r="AB255" s="2394"/>
      <c r="AC255" s="2394"/>
      <c r="AD255" s="2394"/>
      <c r="AE255" s="2394"/>
      <c r="AF255" s="2394"/>
      <c r="AG255" s="2394"/>
      <c r="AH255" s="2394"/>
      <c r="AI255" s="2392"/>
      <c r="AJ255" s="2392"/>
      <c r="AL255" s="2396"/>
      <c r="AM255" s="2397"/>
      <c r="AN255" s="2396"/>
      <c r="AO255" s="2397"/>
      <c r="AP255" s="2396"/>
      <c r="AQ255" s="2397"/>
      <c r="BL255" s="2398"/>
      <c r="BO255" s="2392"/>
    </row>
    <row r="256" spans="1:67" s="2393" customFormat="1" ht="21" customHeight="1">
      <c r="A256" s="2392"/>
      <c r="C256" s="2248" t="s">
        <v>1278</v>
      </c>
      <c r="D256" s="2403"/>
      <c r="E256" s="2400" t="s">
        <v>1927</v>
      </c>
      <c r="F256" s="1842">
        <v>295</v>
      </c>
      <c r="G256" s="1843" t="s">
        <v>1928</v>
      </c>
      <c r="H256" s="1842">
        <v>360</v>
      </c>
      <c r="I256" s="1843" t="s">
        <v>1915</v>
      </c>
      <c r="J256" s="1842">
        <v>440</v>
      </c>
      <c r="K256" s="2290">
        <v>225</v>
      </c>
      <c r="L256" s="2291">
        <v>281</v>
      </c>
      <c r="M256" s="2626">
        <v>90</v>
      </c>
      <c r="N256" s="2627">
        <v>75</v>
      </c>
      <c r="O256" s="2628">
        <v>50</v>
      </c>
      <c r="P256" s="2628">
        <v>60</v>
      </c>
      <c r="Q256" s="2628">
        <v>75</v>
      </c>
      <c r="R256" s="2628">
        <v>30</v>
      </c>
      <c r="S256" s="2629" t="s">
        <v>226</v>
      </c>
      <c r="T256" s="2382">
        <v>495</v>
      </c>
      <c r="U256" s="2383">
        <v>415</v>
      </c>
      <c r="V256" s="2378">
        <v>265</v>
      </c>
      <c r="W256" s="2379">
        <v>330</v>
      </c>
      <c r="X256" s="2378">
        <v>415</v>
      </c>
      <c r="Y256" s="2259">
        <v>165</v>
      </c>
      <c r="Z256" s="2384" t="s">
        <v>226</v>
      </c>
      <c r="AA256" s="2394"/>
      <c r="AB256" s="2394"/>
      <c r="AC256" s="2394"/>
      <c r="AD256" s="2394"/>
      <c r="AE256" s="2394"/>
      <c r="AF256" s="2394"/>
      <c r="AG256" s="2394"/>
      <c r="AH256" s="2394"/>
      <c r="AI256" s="2392"/>
      <c r="AJ256" s="2392"/>
      <c r="AL256" s="2396"/>
      <c r="AM256" s="2397"/>
      <c r="AN256" s="2396"/>
      <c r="AO256" s="2397"/>
      <c r="AP256" s="2396"/>
      <c r="AQ256" s="2397"/>
      <c r="BL256" s="2398"/>
      <c r="BO256" s="2392"/>
    </row>
    <row r="257" spans="1:67" s="2393" customFormat="1" ht="21" customHeight="1">
      <c r="A257" s="2392"/>
      <c r="C257" s="2248" t="s">
        <v>1279</v>
      </c>
      <c r="D257" s="2403"/>
      <c r="E257" s="2400" t="s">
        <v>1032</v>
      </c>
      <c r="F257" s="1842">
        <v>70</v>
      </c>
      <c r="G257" s="1843" t="s">
        <v>1280</v>
      </c>
      <c r="H257" s="1842">
        <v>80</v>
      </c>
      <c r="I257" s="1843" t="s">
        <v>1016</v>
      </c>
      <c r="J257" s="1842">
        <v>95</v>
      </c>
      <c r="K257" s="2290">
        <v>60</v>
      </c>
      <c r="L257" s="2291">
        <v>75</v>
      </c>
      <c r="M257" s="2626">
        <v>15</v>
      </c>
      <c r="N257" s="2627">
        <v>15</v>
      </c>
      <c r="O257" s="2628">
        <v>10</v>
      </c>
      <c r="P257" s="2628">
        <v>10</v>
      </c>
      <c r="Q257" s="2628">
        <v>15</v>
      </c>
      <c r="R257" s="2628">
        <v>5</v>
      </c>
      <c r="S257" s="2629" t="s">
        <v>226</v>
      </c>
      <c r="T257" s="2382">
        <v>90</v>
      </c>
      <c r="U257" s="2383">
        <v>75</v>
      </c>
      <c r="V257" s="2378">
        <v>50</v>
      </c>
      <c r="W257" s="2379">
        <v>60</v>
      </c>
      <c r="X257" s="2378">
        <v>75</v>
      </c>
      <c r="Y257" s="2259">
        <v>30</v>
      </c>
      <c r="Z257" s="2384" t="s">
        <v>226</v>
      </c>
      <c r="AA257" s="2394"/>
      <c r="AB257" s="2394"/>
      <c r="AC257" s="2394"/>
      <c r="AD257" s="2394"/>
      <c r="AE257" s="2394"/>
      <c r="AF257" s="2394"/>
      <c r="AG257" s="2394"/>
      <c r="AH257" s="2394"/>
      <c r="AI257" s="2392"/>
      <c r="AJ257" s="2392"/>
      <c r="AL257" s="2396"/>
      <c r="AM257" s="2397"/>
      <c r="AN257" s="2396"/>
      <c r="AO257" s="2397"/>
      <c r="AP257" s="2396"/>
      <c r="AQ257" s="2397"/>
      <c r="BL257" s="2398"/>
      <c r="BO257" s="2392"/>
    </row>
    <row r="258" spans="1:67" s="2393" customFormat="1" ht="21" customHeight="1">
      <c r="A258" s="2392"/>
      <c r="C258" s="2248" t="s">
        <v>1281</v>
      </c>
      <c r="D258" s="2403"/>
      <c r="E258" s="2400" t="s">
        <v>1066</v>
      </c>
      <c r="F258" s="1842">
        <v>195</v>
      </c>
      <c r="G258" s="1843" t="s">
        <v>1058</v>
      </c>
      <c r="H258" s="1842">
        <v>230</v>
      </c>
      <c r="I258" s="1843" t="s">
        <v>1152</v>
      </c>
      <c r="J258" s="1842">
        <v>275</v>
      </c>
      <c r="K258" s="2290">
        <v>180</v>
      </c>
      <c r="L258" s="2291">
        <v>225</v>
      </c>
      <c r="M258" s="2626">
        <v>75</v>
      </c>
      <c r="N258" s="2627">
        <v>65</v>
      </c>
      <c r="O258" s="2628">
        <v>40</v>
      </c>
      <c r="P258" s="2628">
        <v>50</v>
      </c>
      <c r="Q258" s="2628">
        <v>65</v>
      </c>
      <c r="R258" s="2628">
        <v>25</v>
      </c>
      <c r="S258" s="2629" t="s">
        <v>226</v>
      </c>
      <c r="T258" s="2382">
        <v>315</v>
      </c>
      <c r="U258" s="2383">
        <v>265</v>
      </c>
      <c r="V258" s="2378">
        <v>170</v>
      </c>
      <c r="W258" s="2379">
        <v>210</v>
      </c>
      <c r="X258" s="2378">
        <v>265</v>
      </c>
      <c r="Y258" s="2259">
        <v>105</v>
      </c>
      <c r="Z258" s="2384" t="s">
        <v>226</v>
      </c>
      <c r="AA258" s="2394"/>
      <c r="AB258" s="2394"/>
      <c r="AC258" s="2394"/>
      <c r="AD258" s="2394"/>
      <c r="AE258" s="2394"/>
      <c r="AF258" s="2394"/>
      <c r="AG258" s="2394"/>
      <c r="AH258" s="2394"/>
      <c r="AI258" s="2392"/>
      <c r="AJ258" s="2392"/>
      <c r="AL258" s="2396"/>
      <c r="AM258" s="2397"/>
      <c r="AN258" s="2396"/>
      <c r="AO258" s="2397"/>
      <c r="AP258" s="2396"/>
      <c r="AQ258" s="2397"/>
      <c r="BL258" s="2398"/>
      <c r="BO258" s="2392"/>
    </row>
    <row r="259" spans="1:67" s="2393" customFormat="1" ht="21" customHeight="1">
      <c r="A259" s="2392"/>
      <c r="C259" s="2248" t="s">
        <v>1282</v>
      </c>
      <c r="D259" s="2403"/>
      <c r="E259" s="2400" t="s">
        <v>1023</v>
      </c>
      <c r="F259" s="1842">
        <v>135</v>
      </c>
      <c r="G259" s="1843" t="s">
        <v>1024</v>
      </c>
      <c r="H259" s="1842">
        <v>160</v>
      </c>
      <c r="I259" s="1843" t="s">
        <v>1174</v>
      </c>
      <c r="J259" s="1842">
        <v>190</v>
      </c>
      <c r="K259" s="2290">
        <v>120</v>
      </c>
      <c r="L259" s="2291">
        <v>150</v>
      </c>
      <c r="M259" s="2626">
        <v>45</v>
      </c>
      <c r="N259" s="2627">
        <v>40</v>
      </c>
      <c r="O259" s="2628">
        <v>25</v>
      </c>
      <c r="P259" s="2628">
        <v>30</v>
      </c>
      <c r="Q259" s="2628">
        <v>40</v>
      </c>
      <c r="R259" s="2628">
        <v>15</v>
      </c>
      <c r="S259" s="2629" t="s">
        <v>226</v>
      </c>
      <c r="T259" s="2382">
        <v>210</v>
      </c>
      <c r="U259" s="2383">
        <v>175</v>
      </c>
      <c r="V259" s="2378">
        <v>110</v>
      </c>
      <c r="W259" s="2379">
        <v>140</v>
      </c>
      <c r="X259" s="2378">
        <v>175</v>
      </c>
      <c r="Y259" s="2259">
        <v>70</v>
      </c>
      <c r="Z259" s="2384" t="s">
        <v>226</v>
      </c>
      <c r="AA259" s="2394"/>
      <c r="AB259" s="2394"/>
      <c r="AC259" s="2394"/>
      <c r="AD259" s="2394"/>
      <c r="AE259" s="2394"/>
      <c r="AF259" s="2394"/>
      <c r="AG259" s="2394"/>
      <c r="AH259" s="2394"/>
      <c r="AI259" s="2392"/>
      <c r="AJ259" s="2392"/>
      <c r="AL259" s="2396"/>
      <c r="AM259" s="2397"/>
      <c r="AN259" s="2396"/>
      <c r="AO259" s="2397"/>
      <c r="AP259" s="2396"/>
      <c r="AQ259" s="2397"/>
      <c r="BL259" s="2398"/>
      <c r="BO259" s="2392"/>
    </row>
    <row r="260" spans="1:67" s="2393" customFormat="1" ht="21" customHeight="1">
      <c r="A260" s="2392"/>
      <c r="C260" s="2248" t="s">
        <v>1283</v>
      </c>
      <c r="D260" s="2403"/>
      <c r="E260" s="2400" t="s">
        <v>1141</v>
      </c>
      <c r="F260" s="1842">
        <v>170</v>
      </c>
      <c r="G260" s="1843" t="s">
        <v>1284</v>
      </c>
      <c r="H260" s="1842">
        <v>200</v>
      </c>
      <c r="I260" s="1843" t="s">
        <v>1285</v>
      </c>
      <c r="J260" s="1842">
        <v>240</v>
      </c>
      <c r="K260" s="2290">
        <v>160</v>
      </c>
      <c r="L260" s="2291">
        <v>200</v>
      </c>
      <c r="M260" s="2626">
        <v>60</v>
      </c>
      <c r="N260" s="2627">
        <v>50</v>
      </c>
      <c r="O260" s="2628">
        <v>30</v>
      </c>
      <c r="P260" s="2628">
        <v>40</v>
      </c>
      <c r="Q260" s="2628">
        <v>50</v>
      </c>
      <c r="R260" s="2628">
        <v>20</v>
      </c>
      <c r="S260" s="2629" t="s">
        <v>226</v>
      </c>
      <c r="T260" s="2382">
        <v>225</v>
      </c>
      <c r="U260" s="2383">
        <v>190</v>
      </c>
      <c r="V260" s="2378">
        <v>120</v>
      </c>
      <c r="W260" s="2379">
        <v>150</v>
      </c>
      <c r="X260" s="2378">
        <v>190</v>
      </c>
      <c r="Y260" s="2259">
        <v>75</v>
      </c>
      <c r="Z260" s="2384" t="s">
        <v>226</v>
      </c>
      <c r="AA260" s="2394"/>
      <c r="AB260" s="2394"/>
      <c r="AC260" s="2394"/>
      <c r="AD260" s="2394"/>
      <c r="AE260" s="2394"/>
      <c r="AF260" s="2394"/>
      <c r="AG260" s="2394"/>
      <c r="AH260" s="2394"/>
      <c r="AI260" s="2392"/>
      <c r="AJ260" s="2392"/>
      <c r="AL260" s="2396"/>
      <c r="AM260" s="2397"/>
      <c r="AN260" s="2396"/>
      <c r="AO260" s="2397"/>
      <c r="AP260" s="2396"/>
      <c r="AQ260" s="2397"/>
      <c r="BL260" s="2398"/>
      <c r="BO260" s="2392"/>
    </row>
    <row r="261" spans="1:67" s="2393" customFormat="1" ht="21" customHeight="1">
      <c r="A261" s="2392"/>
      <c r="C261" s="2248" t="s">
        <v>1286</v>
      </c>
      <c r="D261" s="2403"/>
      <c r="E261" s="2400" t="s">
        <v>1056</v>
      </c>
      <c r="F261" s="1842">
        <v>100</v>
      </c>
      <c r="G261" s="1843" t="s">
        <v>1080</v>
      </c>
      <c r="H261" s="1842">
        <v>115</v>
      </c>
      <c r="I261" s="1843" t="s">
        <v>1098</v>
      </c>
      <c r="J261" s="1842">
        <v>135</v>
      </c>
      <c r="K261" s="2290">
        <v>75</v>
      </c>
      <c r="L261" s="2291">
        <v>94</v>
      </c>
      <c r="M261" s="2626">
        <v>60</v>
      </c>
      <c r="N261" s="2627">
        <v>50</v>
      </c>
      <c r="O261" s="2628">
        <v>30</v>
      </c>
      <c r="P261" s="2628">
        <v>40</v>
      </c>
      <c r="Q261" s="2628">
        <v>50</v>
      </c>
      <c r="R261" s="2628">
        <v>20</v>
      </c>
      <c r="S261" s="2629" t="s">
        <v>226</v>
      </c>
      <c r="T261" s="2382">
        <v>210</v>
      </c>
      <c r="U261" s="2383">
        <v>175</v>
      </c>
      <c r="V261" s="2378">
        <v>110</v>
      </c>
      <c r="W261" s="2379">
        <v>140</v>
      </c>
      <c r="X261" s="2378">
        <v>175</v>
      </c>
      <c r="Y261" s="2259">
        <v>70</v>
      </c>
      <c r="Z261" s="2384" t="s">
        <v>226</v>
      </c>
      <c r="AA261" s="2394"/>
      <c r="AB261" s="2394"/>
      <c r="AC261" s="2394"/>
      <c r="AD261" s="2394"/>
      <c r="AE261" s="2394"/>
      <c r="AF261" s="2394"/>
      <c r="AG261" s="2394"/>
      <c r="AH261" s="2394"/>
      <c r="AI261" s="2392"/>
      <c r="AJ261" s="2392"/>
      <c r="AL261" s="2396"/>
      <c r="AM261" s="2397"/>
      <c r="AN261" s="2396"/>
      <c r="AO261" s="2397"/>
      <c r="AP261" s="2396"/>
      <c r="AQ261" s="2397"/>
      <c r="BL261" s="2398"/>
      <c r="BO261" s="2392"/>
    </row>
    <row r="262" spans="1:67" s="2393" customFormat="1" ht="21" customHeight="1">
      <c r="A262" s="2392"/>
      <c r="C262" s="2248" t="s">
        <v>1288</v>
      </c>
      <c r="D262" s="2403"/>
      <c r="E262" s="2400" t="s">
        <v>1165</v>
      </c>
      <c r="F262" s="1842">
        <v>105</v>
      </c>
      <c r="G262" s="1843" t="s">
        <v>1168</v>
      </c>
      <c r="H262" s="1842">
        <v>120</v>
      </c>
      <c r="I262" s="1843" t="s">
        <v>1169</v>
      </c>
      <c r="J262" s="1842">
        <v>140</v>
      </c>
      <c r="K262" s="2290">
        <v>75</v>
      </c>
      <c r="L262" s="2291">
        <v>94</v>
      </c>
      <c r="M262" s="2626">
        <v>60</v>
      </c>
      <c r="N262" s="2627">
        <v>50</v>
      </c>
      <c r="O262" s="2628">
        <v>30</v>
      </c>
      <c r="P262" s="2628">
        <v>40</v>
      </c>
      <c r="Q262" s="2628">
        <v>50</v>
      </c>
      <c r="R262" s="2628">
        <v>20</v>
      </c>
      <c r="S262" s="2629" t="s">
        <v>226</v>
      </c>
      <c r="T262" s="2382">
        <v>210</v>
      </c>
      <c r="U262" s="2383">
        <v>175</v>
      </c>
      <c r="V262" s="2378">
        <v>110</v>
      </c>
      <c r="W262" s="2379">
        <v>140</v>
      </c>
      <c r="X262" s="2378">
        <v>175</v>
      </c>
      <c r="Y262" s="2259">
        <v>70</v>
      </c>
      <c r="Z262" s="2384" t="s">
        <v>226</v>
      </c>
      <c r="AA262" s="2394"/>
      <c r="AB262" s="2394"/>
      <c r="AC262" s="2394"/>
      <c r="AD262" s="2394"/>
      <c r="AE262" s="2394"/>
      <c r="AF262" s="2394"/>
      <c r="AG262" s="2394"/>
      <c r="AH262" s="2394"/>
      <c r="AI262" s="2392"/>
      <c r="AJ262" s="2392"/>
      <c r="AL262" s="2396"/>
      <c r="AM262" s="2397"/>
      <c r="AN262" s="2396"/>
      <c r="AO262" s="2397"/>
      <c r="AP262" s="2396"/>
      <c r="AQ262" s="2397"/>
      <c r="BL262" s="2398"/>
      <c r="BO262" s="2392"/>
    </row>
    <row r="263" spans="1:67" s="2393" customFormat="1" ht="21" customHeight="1">
      <c r="A263" s="2392"/>
      <c r="C263" s="2248" t="s">
        <v>1289</v>
      </c>
      <c r="D263" s="2403"/>
      <c r="E263" s="2400" t="s">
        <v>1056</v>
      </c>
      <c r="F263" s="1842">
        <v>100</v>
      </c>
      <c r="G263" s="1843" t="s">
        <v>1080</v>
      </c>
      <c r="H263" s="1842">
        <v>115</v>
      </c>
      <c r="I263" s="1843" t="s">
        <v>1098</v>
      </c>
      <c r="J263" s="1842">
        <v>135</v>
      </c>
      <c r="K263" s="2290">
        <v>75</v>
      </c>
      <c r="L263" s="2291">
        <v>94</v>
      </c>
      <c r="M263" s="2626">
        <v>60</v>
      </c>
      <c r="N263" s="2627">
        <v>50</v>
      </c>
      <c r="O263" s="2628">
        <v>30</v>
      </c>
      <c r="P263" s="2628">
        <v>40</v>
      </c>
      <c r="Q263" s="2628">
        <v>50</v>
      </c>
      <c r="R263" s="2628">
        <v>20</v>
      </c>
      <c r="S263" s="2629" t="s">
        <v>226</v>
      </c>
      <c r="T263" s="2382">
        <v>210</v>
      </c>
      <c r="U263" s="2383">
        <v>175</v>
      </c>
      <c r="V263" s="2378">
        <v>110</v>
      </c>
      <c r="W263" s="2379">
        <v>140</v>
      </c>
      <c r="X263" s="2378">
        <v>175</v>
      </c>
      <c r="Y263" s="2259">
        <v>70</v>
      </c>
      <c r="Z263" s="2384" t="s">
        <v>226</v>
      </c>
      <c r="AA263" s="2394"/>
      <c r="AB263" s="2394"/>
      <c r="AC263" s="2394"/>
      <c r="AD263" s="2394"/>
      <c r="AE263" s="2394"/>
      <c r="AF263" s="2394"/>
      <c r="AG263" s="2394"/>
      <c r="AH263" s="2394"/>
      <c r="AI263" s="2392"/>
      <c r="AJ263" s="2392"/>
      <c r="AL263" s="2396"/>
      <c r="AM263" s="2397"/>
      <c r="AN263" s="2396"/>
      <c r="AO263" s="2397"/>
      <c r="AP263" s="2396"/>
      <c r="AQ263" s="2397"/>
      <c r="BL263" s="2398"/>
      <c r="BO263" s="2392"/>
    </row>
    <row r="264" spans="1:67" s="2393" customFormat="1" ht="21" customHeight="1">
      <c r="A264" s="2392"/>
      <c r="C264" s="2248" t="s">
        <v>1290</v>
      </c>
      <c r="D264" s="2403"/>
      <c r="E264" s="2400" t="s">
        <v>1023</v>
      </c>
      <c r="F264" s="1842">
        <v>145</v>
      </c>
      <c r="G264" s="1843" t="s">
        <v>1287</v>
      </c>
      <c r="H264" s="1842">
        <v>170</v>
      </c>
      <c r="I264" s="1843" t="s">
        <v>1060</v>
      </c>
      <c r="J264" s="1842">
        <v>205</v>
      </c>
      <c r="K264" s="2290">
        <v>130</v>
      </c>
      <c r="L264" s="2291">
        <v>163</v>
      </c>
      <c r="M264" s="2626">
        <v>60</v>
      </c>
      <c r="N264" s="2627">
        <v>50</v>
      </c>
      <c r="O264" s="2628">
        <v>30</v>
      </c>
      <c r="P264" s="2628">
        <v>40</v>
      </c>
      <c r="Q264" s="2628">
        <v>50</v>
      </c>
      <c r="R264" s="2628">
        <v>20</v>
      </c>
      <c r="S264" s="2629" t="s">
        <v>226</v>
      </c>
      <c r="T264" s="2382">
        <v>210</v>
      </c>
      <c r="U264" s="2383">
        <v>175</v>
      </c>
      <c r="V264" s="2378">
        <v>110</v>
      </c>
      <c r="W264" s="2379">
        <v>140</v>
      </c>
      <c r="X264" s="2378">
        <v>175</v>
      </c>
      <c r="Y264" s="2259">
        <v>70</v>
      </c>
      <c r="Z264" s="2384" t="s">
        <v>226</v>
      </c>
      <c r="AA264" s="2394"/>
      <c r="AB264" s="2394"/>
      <c r="AC264" s="2394"/>
      <c r="AD264" s="2394"/>
      <c r="AE264" s="2394"/>
      <c r="AF264" s="2394"/>
      <c r="AG264" s="2394"/>
      <c r="AH264" s="2394"/>
      <c r="AI264" s="2392"/>
      <c r="AJ264" s="2392"/>
      <c r="AL264" s="2396"/>
      <c r="AM264" s="2397"/>
      <c r="AN264" s="2396"/>
      <c r="AO264" s="2397"/>
      <c r="AP264" s="2396"/>
      <c r="AQ264" s="2397"/>
      <c r="BL264" s="2398"/>
      <c r="BO264" s="2392"/>
    </row>
    <row r="265" spans="1:67" s="2393" customFormat="1" ht="21" customHeight="1" thickBot="1">
      <c r="A265" s="2392"/>
      <c r="C265" s="2274" t="s">
        <v>1291</v>
      </c>
      <c r="D265" s="2404"/>
      <c r="E265" s="2401" t="s">
        <v>1056</v>
      </c>
      <c r="F265" s="2306">
        <v>140</v>
      </c>
      <c r="G265" s="2307" t="s">
        <v>1929</v>
      </c>
      <c r="H265" s="2306">
        <v>165</v>
      </c>
      <c r="I265" s="2307" t="s">
        <v>1169</v>
      </c>
      <c r="J265" s="2306">
        <v>195</v>
      </c>
      <c r="K265" s="2308">
        <v>130</v>
      </c>
      <c r="L265" s="2309">
        <v>163</v>
      </c>
      <c r="M265" s="2630">
        <v>60</v>
      </c>
      <c r="N265" s="2631">
        <v>50</v>
      </c>
      <c r="O265" s="2632">
        <v>30</v>
      </c>
      <c r="P265" s="2632">
        <v>40</v>
      </c>
      <c r="Q265" s="2632">
        <v>50</v>
      </c>
      <c r="R265" s="2632">
        <v>20</v>
      </c>
      <c r="S265" s="2633" t="s">
        <v>226</v>
      </c>
      <c r="T265" s="2388">
        <v>210</v>
      </c>
      <c r="U265" s="2389">
        <v>175</v>
      </c>
      <c r="V265" s="2390">
        <v>110</v>
      </c>
      <c r="W265" s="2373">
        <v>140</v>
      </c>
      <c r="X265" s="2390">
        <v>175</v>
      </c>
      <c r="Y265" s="2374">
        <v>70</v>
      </c>
      <c r="Z265" s="2391" t="s">
        <v>226</v>
      </c>
      <c r="AA265" s="2394"/>
      <c r="AB265" s="2394"/>
      <c r="AC265" s="2394"/>
      <c r="AD265" s="2394"/>
      <c r="AE265" s="2394"/>
      <c r="AF265" s="2394"/>
      <c r="AG265" s="2394"/>
      <c r="AH265" s="2394"/>
      <c r="AI265" s="2392"/>
      <c r="AJ265" s="2392"/>
      <c r="AL265" s="2396"/>
      <c r="AM265" s="2397"/>
      <c r="AN265" s="2396"/>
      <c r="AO265" s="2397"/>
      <c r="AP265" s="2396"/>
      <c r="AQ265" s="2397"/>
      <c r="BL265" s="2398"/>
      <c r="BO265" s="2392"/>
    </row>
    <row r="266" spans="1:67" ht="13.5" thickBot="1">
      <c r="A266" s="760"/>
      <c r="B266" s="485"/>
      <c r="C266" s="1108"/>
      <c r="D266" s="1108"/>
      <c r="E266" s="1108"/>
      <c r="F266" s="1108"/>
      <c r="G266" s="1108"/>
      <c r="H266" s="1108"/>
      <c r="I266" s="1108"/>
      <c r="J266" s="1108"/>
      <c r="K266" s="1108"/>
      <c r="L266" s="1108"/>
      <c r="M266" s="1108"/>
      <c r="N266" s="1108"/>
      <c r="O266" s="1108"/>
      <c r="P266" s="1108"/>
      <c r="Q266" s="1108"/>
      <c r="R266" s="1108"/>
      <c r="S266" s="1108"/>
      <c r="T266" s="1108"/>
      <c r="U266" s="1108"/>
      <c r="V266" s="1108"/>
      <c r="W266" s="1108"/>
      <c r="X266" s="1108"/>
      <c r="Y266" s="1108"/>
      <c r="Z266" s="1108"/>
      <c r="AA266" s="1108"/>
      <c r="AB266" s="1108"/>
      <c r="AC266" s="1108"/>
      <c r="AD266" s="1108"/>
      <c r="AE266" s="1108"/>
      <c r="AF266" s="1108"/>
      <c r="AG266" s="1108"/>
      <c r="AH266" s="1108"/>
      <c r="AI266" s="760"/>
      <c r="AJ266" s="760"/>
      <c r="AL266" s="2171"/>
      <c r="AM266" s="2172"/>
      <c r="AN266" s="2171"/>
      <c r="AO266" s="2172"/>
      <c r="AP266" s="2171"/>
      <c r="AQ266" s="2172"/>
      <c r="BL266" s="1934"/>
      <c r="BO266" s="760"/>
    </row>
    <row r="267" spans="1:67" ht="22.5" customHeight="1" thickBot="1">
      <c r="A267" s="760"/>
      <c r="B267" s="485"/>
      <c r="C267" s="1942" t="s">
        <v>1292</v>
      </c>
      <c r="D267" s="2018"/>
      <c r="E267" s="2906" t="s">
        <v>910</v>
      </c>
      <c r="F267" s="2906"/>
      <c r="G267" s="2907" t="s">
        <v>120</v>
      </c>
      <c r="H267" s="2907"/>
      <c r="I267" s="2908" t="s">
        <v>983</v>
      </c>
      <c r="J267" s="2908"/>
      <c r="K267" s="1446" t="s">
        <v>120</v>
      </c>
      <c r="L267" s="2163" t="s">
        <v>983</v>
      </c>
      <c r="M267" s="2681" t="s">
        <v>990</v>
      </c>
      <c r="N267" s="2681" t="s">
        <v>991</v>
      </c>
      <c r="O267" s="2682" t="s">
        <v>910</v>
      </c>
      <c r="P267" s="2683" t="s">
        <v>120</v>
      </c>
      <c r="Q267" s="2684" t="s">
        <v>983</v>
      </c>
      <c r="R267" s="2688" t="s">
        <v>993</v>
      </c>
      <c r="S267" s="2689" t="s">
        <v>994</v>
      </c>
      <c r="T267" s="2164" t="s">
        <v>990</v>
      </c>
      <c r="U267" s="2165" t="s">
        <v>991</v>
      </c>
      <c r="V267" s="2166" t="s">
        <v>910</v>
      </c>
      <c r="W267" s="2167" t="s">
        <v>120</v>
      </c>
      <c r="X267" s="2168" t="s">
        <v>983</v>
      </c>
      <c r="Y267" s="2169" t="s">
        <v>993</v>
      </c>
      <c r="Z267" s="2170" t="s">
        <v>994</v>
      </c>
      <c r="AA267" s="1108"/>
      <c r="AB267" s="1108"/>
      <c r="AC267" s="1108"/>
      <c r="AD267" s="1108"/>
      <c r="AE267" s="1108"/>
      <c r="AF267" s="1108"/>
      <c r="AG267" s="1108"/>
      <c r="AH267" s="1108"/>
      <c r="AI267" s="760"/>
      <c r="AJ267" s="760"/>
      <c r="AL267" s="2171"/>
      <c r="AM267" s="2172"/>
      <c r="AN267" s="2171"/>
      <c r="AO267" s="2172"/>
      <c r="AP267" s="2171"/>
      <c r="AQ267" s="2172"/>
      <c r="BL267" s="1934"/>
      <c r="BO267" s="760"/>
    </row>
    <row r="268" spans="1:67" ht="22.5" customHeight="1">
      <c r="A268" s="760"/>
      <c r="B268" s="485"/>
      <c r="C268" s="1950" t="s">
        <v>1293</v>
      </c>
      <c r="D268" s="2017"/>
      <c r="E268" s="2289"/>
      <c r="F268" s="1847"/>
      <c r="G268" s="2341" t="s">
        <v>1948</v>
      </c>
      <c r="H268" s="1847">
        <v>90</v>
      </c>
      <c r="I268" s="2341" t="s">
        <v>1285</v>
      </c>
      <c r="J268" s="1847">
        <v>120</v>
      </c>
      <c r="K268" s="2342">
        <v>90</v>
      </c>
      <c r="L268" s="2343">
        <v>120</v>
      </c>
      <c r="M268" s="2634">
        <v>55</v>
      </c>
      <c r="N268" s="2635">
        <v>45</v>
      </c>
      <c r="O268" s="2636"/>
      <c r="P268" s="2636">
        <v>35</v>
      </c>
      <c r="Q268" s="2636">
        <v>45</v>
      </c>
      <c r="R268" s="2636">
        <v>20</v>
      </c>
      <c r="S268" s="2637" t="s">
        <v>226</v>
      </c>
      <c r="T268" s="2344">
        <v>105</v>
      </c>
      <c r="U268" s="2345">
        <v>90</v>
      </c>
      <c r="V268" s="2346"/>
      <c r="W268" s="2347">
        <v>70</v>
      </c>
      <c r="X268" s="2346">
        <v>85</v>
      </c>
      <c r="Y268" s="2348">
        <v>35</v>
      </c>
      <c r="Z268" s="2349" t="s">
        <v>226</v>
      </c>
      <c r="AA268" s="1108"/>
      <c r="AB268" s="1108"/>
      <c r="AC268" s="1108"/>
      <c r="AD268" s="1108"/>
      <c r="AE268" s="1108"/>
      <c r="AF268" s="1108"/>
      <c r="AG268" s="1108"/>
      <c r="AH268" s="1108"/>
      <c r="AI268" s="760"/>
      <c r="AJ268" s="760"/>
      <c r="AL268" s="2171"/>
      <c r="AM268" s="2172"/>
      <c r="AN268" s="2171"/>
      <c r="AO268" s="2172"/>
      <c r="AP268" s="2171"/>
      <c r="AQ268" s="2172"/>
      <c r="BL268" s="1934"/>
      <c r="BO268" s="760"/>
    </row>
    <row r="269" spans="1:67" ht="22.5" customHeight="1">
      <c r="A269" s="760"/>
      <c r="B269" s="485"/>
      <c r="C269" s="1950" t="s">
        <v>1294</v>
      </c>
      <c r="D269" s="2017"/>
      <c r="E269" s="2289" t="s">
        <v>226</v>
      </c>
      <c r="F269" s="1951"/>
      <c r="G269" s="2350" t="s">
        <v>1949</v>
      </c>
      <c r="H269" s="1951">
        <v>60</v>
      </c>
      <c r="I269" s="1953" t="s">
        <v>1127</v>
      </c>
      <c r="J269" s="1951">
        <v>60</v>
      </c>
      <c r="K269" s="2351"/>
      <c r="L269" s="2352"/>
      <c r="M269" s="2638">
        <v>60</v>
      </c>
      <c r="N269" s="2639">
        <v>50</v>
      </c>
      <c r="O269" s="2640"/>
      <c r="P269" s="2640">
        <v>40</v>
      </c>
      <c r="Q269" s="2640">
        <v>45</v>
      </c>
      <c r="R269" s="2636">
        <v>20</v>
      </c>
      <c r="S269" s="2641" t="s">
        <v>226</v>
      </c>
      <c r="T269" s="2353">
        <v>0</v>
      </c>
      <c r="U269" s="2354">
        <v>0</v>
      </c>
      <c r="V269" s="2355"/>
      <c r="W269" s="2356"/>
      <c r="X269" s="2355"/>
      <c r="Y269" s="2357">
        <v>0</v>
      </c>
      <c r="Z269" s="2358"/>
      <c r="AA269" s="1108"/>
      <c r="AB269" s="1108"/>
      <c r="AC269" s="1108"/>
      <c r="AD269" s="1108"/>
      <c r="AE269" s="1108"/>
      <c r="AF269" s="1108"/>
      <c r="AG269" s="1108"/>
      <c r="AH269" s="1108"/>
      <c r="AI269" s="760"/>
      <c r="AJ269" s="760"/>
      <c r="AL269" s="2171"/>
      <c r="AM269" s="2172"/>
      <c r="AN269" s="2171"/>
      <c r="AO269" s="2172"/>
      <c r="AP269" s="2171"/>
      <c r="AQ269" s="2172"/>
      <c r="BL269" s="1934"/>
      <c r="BO269" s="760"/>
    </row>
    <row r="270" spans="1:67" ht="22.5" customHeight="1">
      <c r="A270" s="760"/>
      <c r="B270" s="485"/>
      <c r="C270" s="1950" t="s">
        <v>1950</v>
      </c>
      <c r="D270" s="2017"/>
      <c r="E270" s="2359" t="s">
        <v>1086</v>
      </c>
      <c r="F270" s="1951"/>
      <c r="G270" s="1953"/>
      <c r="H270" s="1951"/>
      <c r="I270" s="1953"/>
      <c r="J270" s="1951"/>
      <c r="K270" s="2351"/>
      <c r="L270" s="2352"/>
      <c r="M270" s="2638">
        <v>85</v>
      </c>
      <c r="N270" s="2639">
        <v>70</v>
      </c>
      <c r="O270" s="2640"/>
      <c r="P270" s="2640">
        <v>55</v>
      </c>
      <c r="Q270" s="2640">
        <v>65</v>
      </c>
      <c r="R270" s="2636" t="s">
        <v>1007</v>
      </c>
      <c r="S270" s="2641" t="s">
        <v>1008</v>
      </c>
      <c r="T270" s="2360">
        <v>0</v>
      </c>
      <c r="U270" s="2361">
        <v>0</v>
      </c>
      <c r="V270" s="2362"/>
      <c r="W270" s="2363"/>
      <c r="X270" s="2362"/>
      <c r="Y270" s="2364" t="s">
        <v>1007</v>
      </c>
      <c r="Z270" s="2365"/>
      <c r="AA270" s="1108"/>
      <c r="AB270" s="1108"/>
      <c r="AC270" s="1108"/>
      <c r="AD270" s="1108"/>
      <c r="AE270" s="1108"/>
      <c r="AF270" s="1108"/>
      <c r="AG270" s="1108"/>
      <c r="AH270" s="1108"/>
      <c r="AI270" s="760"/>
      <c r="AJ270" s="760"/>
      <c r="AL270" s="2171"/>
      <c r="AM270" s="2172"/>
      <c r="AN270" s="2171"/>
      <c r="AO270" s="2172"/>
      <c r="AP270" s="2171"/>
      <c r="AQ270" s="2172"/>
      <c r="BL270" s="1934"/>
      <c r="BO270" s="760"/>
    </row>
    <row r="271" spans="1:67" ht="22.5" customHeight="1">
      <c r="A271" s="760"/>
      <c r="B271" s="485"/>
      <c r="C271" s="1950" t="s">
        <v>1951</v>
      </c>
      <c r="D271" s="2017"/>
      <c r="E271" s="2359" t="s">
        <v>1086</v>
      </c>
      <c r="F271" s="1951"/>
      <c r="G271" s="1953"/>
      <c r="H271" s="1951"/>
      <c r="I271" s="1953"/>
      <c r="J271" s="1951"/>
      <c r="K271" s="2351"/>
      <c r="L271" s="2352"/>
      <c r="M271" s="2638">
        <v>10</v>
      </c>
      <c r="N271" s="2639">
        <v>10</v>
      </c>
      <c r="O271" s="2640"/>
      <c r="P271" s="2640">
        <v>6</v>
      </c>
      <c r="Q271" s="2640">
        <v>7</v>
      </c>
      <c r="R271" s="2636" t="s">
        <v>1007</v>
      </c>
      <c r="S271" s="2641" t="s">
        <v>1008</v>
      </c>
      <c r="T271" s="2360">
        <v>0</v>
      </c>
      <c r="U271" s="2361">
        <v>0</v>
      </c>
      <c r="V271" s="2362"/>
      <c r="W271" s="2363"/>
      <c r="X271" s="2362"/>
      <c r="Y271" s="2364" t="s">
        <v>1007</v>
      </c>
      <c r="Z271" s="2365" t="s">
        <v>1008</v>
      </c>
      <c r="AA271" s="1108"/>
      <c r="AB271" s="1108"/>
      <c r="AC271" s="1108"/>
      <c r="AD271" s="1108"/>
      <c r="AE271" s="1108"/>
      <c r="AF271" s="1108"/>
      <c r="AG271" s="1108"/>
      <c r="AH271" s="1108"/>
      <c r="AI271" s="760"/>
      <c r="AJ271" s="760"/>
      <c r="AL271" s="2171"/>
      <c r="AM271" s="2172"/>
      <c r="AN271" s="2171"/>
      <c r="AO271" s="2172"/>
      <c r="AP271" s="2171"/>
      <c r="AQ271" s="2172"/>
      <c r="BL271" s="1934"/>
      <c r="BO271" s="760"/>
    </row>
    <row r="272" spans="1:67" ht="22.5" customHeight="1">
      <c r="A272" s="760"/>
      <c r="B272" s="485"/>
      <c r="C272" s="1950" t="s">
        <v>1952</v>
      </c>
      <c r="D272" s="2017"/>
      <c r="E272" s="2359" t="s">
        <v>1086</v>
      </c>
      <c r="F272" s="1951"/>
      <c r="G272" s="1953"/>
      <c r="H272" s="1951"/>
      <c r="I272" s="1953"/>
      <c r="J272" s="1951"/>
      <c r="K272" s="2351"/>
      <c r="L272" s="2352"/>
      <c r="M272" s="2638">
        <v>10</v>
      </c>
      <c r="N272" s="2639">
        <v>10</v>
      </c>
      <c r="O272" s="2640"/>
      <c r="P272" s="2640">
        <v>6</v>
      </c>
      <c r="Q272" s="2640">
        <v>7</v>
      </c>
      <c r="R272" s="2636" t="s">
        <v>1007</v>
      </c>
      <c r="S272" s="2641" t="s">
        <v>1008</v>
      </c>
      <c r="T272" s="2360">
        <v>120</v>
      </c>
      <c r="U272" s="2361">
        <v>100</v>
      </c>
      <c r="V272" s="2362"/>
      <c r="W272" s="2363">
        <v>80</v>
      </c>
      <c r="X272" s="2362">
        <v>110</v>
      </c>
      <c r="Y272" s="2364" t="s">
        <v>1007</v>
      </c>
      <c r="Z272" s="2365" t="s">
        <v>1008</v>
      </c>
      <c r="AA272" s="1108"/>
      <c r="AB272" s="1108"/>
      <c r="AC272" s="1108"/>
      <c r="AD272" s="1108"/>
      <c r="AE272" s="1108"/>
      <c r="AF272" s="1108"/>
      <c r="AG272" s="1108"/>
      <c r="AH272" s="1108"/>
      <c r="AI272" s="760"/>
      <c r="AJ272" s="760"/>
      <c r="AL272" s="2171"/>
      <c r="AM272" s="2172"/>
      <c r="AN272" s="2171"/>
      <c r="AO272" s="2172"/>
      <c r="AP272" s="2171"/>
      <c r="AQ272" s="2172"/>
      <c r="BL272" s="1934"/>
      <c r="BO272" s="760"/>
    </row>
    <row r="273" spans="1:67" ht="22.5" customHeight="1">
      <c r="A273" s="760"/>
      <c r="B273" s="485"/>
      <c r="C273" s="1950" t="s">
        <v>1295</v>
      </c>
      <c r="D273" s="2017"/>
      <c r="E273" s="2289"/>
      <c r="F273" s="1951"/>
      <c r="G273" s="1952" t="s">
        <v>1953</v>
      </c>
      <c r="H273" s="1951">
        <v>90</v>
      </c>
      <c r="I273" s="1953" t="s">
        <v>1122</v>
      </c>
      <c r="J273" s="1951">
        <v>120</v>
      </c>
      <c r="K273" s="2351">
        <v>90</v>
      </c>
      <c r="L273" s="2352">
        <v>120</v>
      </c>
      <c r="M273" s="2638">
        <v>40</v>
      </c>
      <c r="N273" s="2639">
        <v>30</v>
      </c>
      <c r="O273" s="2640"/>
      <c r="P273" s="2640">
        <v>25</v>
      </c>
      <c r="Q273" s="2640">
        <v>35</v>
      </c>
      <c r="R273" s="2636">
        <v>15</v>
      </c>
      <c r="S273" s="2641" t="s">
        <v>226</v>
      </c>
      <c r="T273" s="2360">
        <v>100</v>
      </c>
      <c r="U273" s="2361">
        <v>80</v>
      </c>
      <c r="V273" s="2362"/>
      <c r="W273" s="2363">
        <v>65</v>
      </c>
      <c r="X273" s="2362">
        <v>75</v>
      </c>
      <c r="Y273" s="2364">
        <v>35</v>
      </c>
      <c r="Z273" s="2365" t="s">
        <v>226</v>
      </c>
      <c r="AA273" s="1108"/>
      <c r="AB273" s="1108"/>
      <c r="AC273" s="1108"/>
      <c r="AD273" s="1108"/>
      <c r="AE273" s="1108"/>
      <c r="AF273" s="1108"/>
      <c r="AG273" s="1108"/>
      <c r="AH273" s="1108"/>
      <c r="AI273" s="760"/>
      <c r="AJ273" s="760"/>
      <c r="AL273" s="2171"/>
      <c r="AM273" s="2172"/>
      <c r="AN273" s="2171"/>
      <c r="AO273" s="2172"/>
      <c r="AP273" s="2171"/>
      <c r="AQ273" s="2172"/>
      <c r="BL273" s="1934"/>
      <c r="BO273" s="760"/>
    </row>
    <row r="274" spans="1:67" ht="22.5" customHeight="1">
      <c r="A274" s="760"/>
      <c r="B274" s="485"/>
      <c r="C274" s="1950" t="s">
        <v>1296</v>
      </c>
      <c r="D274" s="2017"/>
      <c r="E274" s="2289"/>
      <c r="F274" s="1951"/>
      <c r="G274" s="1953" t="s">
        <v>1954</v>
      </c>
      <c r="H274" s="1951">
        <v>90</v>
      </c>
      <c r="I274" s="1953" t="s">
        <v>1035</v>
      </c>
      <c r="J274" s="1951">
        <v>110</v>
      </c>
      <c r="K274" s="2351">
        <v>90</v>
      </c>
      <c r="L274" s="2352">
        <v>110</v>
      </c>
      <c r="M274" s="2638">
        <v>60</v>
      </c>
      <c r="N274" s="2639">
        <v>50</v>
      </c>
      <c r="O274" s="2640"/>
      <c r="P274" s="2640">
        <v>40</v>
      </c>
      <c r="Q274" s="2640">
        <v>60</v>
      </c>
      <c r="R274" s="2636">
        <v>20</v>
      </c>
      <c r="S274" s="2641" t="s">
        <v>226</v>
      </c>
      <c r="T274" s="2360">
        <v>135</v>
      </c>
      <c r="U274" s="2361">
        <v>115</v>
      </c>
      <c r="V274" s="2362"/>
      <c r="W274" s="2363">
        <v>90</v>
      </c>
      <c r="X274" s="2362">
        <v>120</v>
      </c>
      <c r="Y274" s="2364">
        <v>45</v>
      </c>
      <c r="Z274" s="2365" t="s">
        <v>226</v>
      </c>
      <c r="AA274" s="1108"/>
      <c r="AB274" s="1108"/>
      <c r="AC274" s="1108"/>
      <c r="AD274" s="1108"/>
      <c r="AE274" s="1108"/>
      <c r="AF274" s="1108"/>
      <c r="AG274" s="1108"/>
      <c r="AH274" s="1108"/>
      <c r="AI274" s="760"/>
      <c r="AJ274" s="760"/>
      <c r="AL274" s="2171"/>
      <c r="AM274" s="2172"/>
      <c r="AN274" s="2171"/>
      <c r="AO274" s="2172"/>
      <c r="AP274" s="2171"/>
      <c r="AQ274" s="2172"/>
      <c r="BL274" s="1934"/>
      <c r="BO274" s="760"/>
    </row>
    <row r="275" spans="1:67" ht="22.5" customHeight="1">
      <c r="A275" s="760"/>
      <c r="B275" s="485"/>
      <c r="C275" s="1950" t="s">
        <v>1297</v>
      </c>
      <c r="D275" s="2017"/>
      <c r="E275" s="2289"/>
      <c r="F275" s="1951"/>
      <c r="G275" s="1953" t="s">
        <v>1954</v>
      </c>
      <c r="H275" s="1951">
        <v>150</v>
      </c>
      <c r="I275" s="1953" t="s">
        <v>1035</v>
      </c>
      <c r="J275" s="1951">
        <v>175</v>
      </c>
      <c r="K275" s="2351">
        <v>150</v>
      </c>
      <c r="L275" s="2352">
        <v>175</v>
      </c>
      <c r="M275" s="2638">
        <v>60</v>
      </c>
      <c r="N275" s="2639">
        <v>50</v>
      </c>
      <c r="O275" s="2640"/>
      <c r="P275" s="2640">
        <v>40</v>
      </c>
      <c r="Q275" s="2640">
        <v>50</v>
      </c>
      <c r="R275" s="2636">
        <v>20</v>
      </c>
      <c r="S275" s="2641" t="s">
        <v>226</v>
      </c>
      <c r="T275" s="2360">
        <v>135</v>
      </c>
      <c r="U275" s="2361">
        <v>115</v>
      </c>
      <c r="V275" s="2362"/>
      <c r="W275" s="2363">
        <v>90</v>
      </c>
      <c r="X275" s="2362">
        <v>110</v>
      </c>
      <c r="Y275" s="2364">
        <v>45</v>
      </c>
      <c r="Z275" s="2365" t="s">
        <v>226</v>
      </c>
      <c r="AA275" s="1108"/>
      <c r="AB275" s="1108"/>
      <c r="AC275" s="1108"/>
      <c r="AD275" s="1108"/>
      <c r="AE275" s="1108"/>
      <c r="AF275" s="1108"/>
      <c r="AG275" s="1108"/>
      <c r="AH275" s="1108"/>
      <c r="AI275" s="760"/>
      <c r="AJ275" s="760"/>
      <c r="AL275" s="2171"/>
      <c r="AM275" s="2172"/>
      <c r="AN275" s="2171"/>
      <c r="AO275" s="2172"/>
      <c r="AP275" s="2171"/>
      <c r="AQ275" s="2172"/>
      <c r="BL275" s="1934"/>
      <c r="BO275" s="760"/>
    </row>
    <row r="276" spans="1:67" ht="22.5" customHeight="1">
      <c r="A276" s="760"/>
      <c r="B276" s="485"/>
      <c r="C276" s="1950" t="s">
        <v>1298</v>
      </c>
      <c r="D276" s="2017"/>
      <c r="E276" s="2289" t="s">
        <v>226</v>
      </c>
      <c r="F276" s="1951"/>
      <c r="G276" s="1953" t="s">
        <v>1955</v>
      </c>
      <c r="H276" s="1951">
        <v>150</v>
      </c>
      <c r="I276" s="1953" t="s">
        <v>1956</v>
      </c>
      <c r="J276" s="1951">
        <v>175</v>
      </c>
      <c r="K276" s="2351"/>
      <c r="L276" s="2352"/>
      <c r="M276" s="2638">
        <v>70</v>
      </c>
      <c r="N276" s="2639">
        <v>55</v>
      </c>
      <c r="O276" s="2640"/>
      <c r="P276" s="2640">
        <v>45</v>
      </c>
      <c r="Q276" s="2640">
        <v>55</v>
      </c>
      <c r="R276" s="2636">
        <v>25</v>
      </c>
      <c r="S276" s="2641" t="s">
        <v>226</v>
      </c>
      <c r="T276" s="2360">
        <v>240</v>
      </c>
      <c r="U276" s="2361">
        <v>200</v>
      </c>
      <c r="V276" s="2362"/>
      <c r="W276" s="2363">
        <v>160</v>
      </c>
      <c r="X276" s="2362">
        <v>200</v>
      </c>
      <c r="Y276" s="2364">
        <v>80</v>
      </c>
      <c r="Z276" s="2365" t="s">
        <v>226</v>
      </c>
      <c r="AA276" s="1108"/>
      <c r="AB276" s="1108"/>
      <c r="AC276" s="1108"/>
      <c r="AD276" s="1108"/>
      <c r="AE276" s="1108"/>
      <c r="AF276" s="1108"/>
      <c r="AG276" s="1108"/>
      <c r="AH276" s="1108"/>
      <c r="AI276" s="760"/>
      <c r="AJ276" s="760"/>
      <c r="AL276" s="2171"/>
      <c r="AM276" s="2172"/>
      <c r="AN276" s="2171"/>
      <c r="AO276" s="2172"/>
      <c r="AP276" s="2171"/>
      <c r="AQ276" s="2172"/>
      <c r="BL276" s="1934"/>
      <c r="BO276" s="760"/>
    </row>
    <row r="277" spans="1:67" ht="22.5" customHeight="1">
      <c r="A277" s="760"/>
      <c r="B277" s="485"/>
      <c r="C277" s="1950" t="s">
        <v>1299</v>
      </c>
      <c r="D277" s="2017"/>
      <c r="E277" s="2289"/>
      <c r="F277" s="1951"/>
      <c r="G277" s="1953" t="s">
        <v>1821</v>
      </c>
      <c r="H277" s="1951">
        <v>70</v>
      </c>
      <c r="I277" s="1953" t="s">
        <v>1147</v>
      </c>
      <c r="J277" s="1951">
        <v>110</v>
      </c>
      <c r="K277" s="2351">
        <v>70</v>
      </c>
      <c r="L277" s="2352">
        <v>110</v>
      </c>
      <c r="M277" s="2638">
        <v>40</v>
      </c>
      <c r="N277" s="2639">
        <v>30</v>
      </c>
      <c r="O277" s="2640"/>
      <c r="P277" s="2640">
        <v>25</v>
      </c>
      <c r="Q277" s="2640">
        <v>30</v>
      </c>
      <c r="R277" s="2640">
        <v>15</v>
      </c>
      <c r="S277" s="2641" t="s">
        <v>226</v>
      </c>
      <c r="T277" s="2360">
        <v>115</v>
      </c>
      <c r="U277" s="2361">
        <v>95</v>
      </c>
      <c r="V277" s="2362"/>
      <c r="W277" s="2363">
        <v>75</v>
      </c>
      <c r="X277" s="2362">
        <v>100</v>
      </c>
      <c r="Y277" s="2364">
        <v>40</v>
      </c>
      <c r="Z277" s="2365" t="s">
        <v>226</v>
      </c>
      <c r="AA277" s="1108"/>
      <c r="AB277" s="1108"/>
      <c r="AC277" s="1108"/>
      <c r="AD277" s="1108"/>
      <c r="AE277" s="1108"/>
      <c r="AF277" s="1108"/>
      <c r="AG277" s="1108"/>
      <c r="AH277" s="1108"/>
      <c r="AI277" s="760"/>
      <c r="AJ277" s="760"/>
      <c r="AL277" s="2171"/>
      <c r="AM277" s="2172"/>
      <c r="AN277" s="2171"/>
      <c r="AO277" s="2172"/>
      <c r="AP277" s="2171"/>
      <c r="AQ277" s="2172"/>
      <c r="BL277" s="1934"/>
      <c r="BO277" s="760"/>
    </row>
    <row r="278" spans="1:67" ht="22.5" customHeight="1">
      <c r="A278" s="760"/>
      <c r="B278" s="485"/>
      <c r="C278" s="1950" t="s">
        <v>1300</v>
      </c>
      <c r="D278" s="2017"/>
      <c r="E278" s="2289"/>
      <c r="F278" s="1951"/>
      <c r="G278" s="1953" t="s">
        <v>1270</v>
      </c>
      <c r="H278" s="1951">
        <v>70</v>
      </c>
      <c r="I278" s="1953" t="s">
        <v>1106</v>
      </c>
      <c r="J278" s="1951">
        <v>110</v>
      </c>
      <c r="K278" s="2351">
        <v>70</v>
      </c>
      <c r="L278" s="2352">
        <v>110</v>
      </c>
      <c r="M278" s="2638">
        <v>40</v>
      </c>
      <c r="N278" s="2639">
        <v>30</v>
      </c>
      <c r="O278" s="2640"/>
      <c r="P278" s="2640">
        <v>25</v>
      </c>
      <c r="Q278" s="2640">
        <v>30</v>
      </c>
      <c r="R278" s="2640">
        <v>15</v>
      </c>
      <c r="S278" s="2641" t="s">
        <v>226</v>
      </c>
      <c r="T278" s="2360">
        <v>115</v>
      </c>
      <c r="U278" s="2361">
        <v>95</v>
      </c>
      <c r="V278" s="2362"/>
      <c r="W278" s="2363">
        <v>75</v>
      </c>
      <c r="X278" s="2362">
        <v>100</v>
      </c>
      <c r="Y278" s="2364">
        <v>40</v>
      </c>
      <c r="Z278" s="2365" t="s">
        <v>226</v>
      </c>
      <c r="AA278" s="1108"/>
      <c r="AB278" s="1108"/>
      <c r="AC278" s="1108"/>
      <c r="AD278" s="1108"/>
      <c r="AE278" s="1108"/>
      <c r="AF278" s="1108"/>
      <c r="AG278" s="1108"/>
      <c r="AH278" s="1108"/>
      <c r="AI278" s="760"/>
      <c r="AJ278" s="760"/>
      <c r="AL278" s="2171"/>
      <c r="AM278" s="2172"/>
      <c r="AN278" s="2171"/>
      <c r="AO278" s="2172"/>
      <c r="AP278" s="2171"/>
      <c r="AQ278" s="2172"/>
      <c r="BL278" s="1934"/>
      <c r="BO278" s="760"/>
    </row>
    <row r="279" spans="1:67" ht="22.5" customHeight="1">
      <c r="A279" s="760"/>
      <c r="B279" s="485"/>
      <c r="C279" s="1950" t="s">
        <v>1957</v>
      </c>
      <c r="D279" s="2017"/>
      <c r="E279" s="2366" t="s">
        <v>1086</v>
      </c>
      <c r="F279" s="1847"/>
      <c r="G279" s="2341"/>
      <c r="H279" s="1847"/>
      <c r="I279" s="2341"/>
      <c r="J279" s="1847"/>
      <c r="K279" s="2342"/>
      <c r="L279" s="2343"/>
      <c r="M279" s="2638">
        <v>85</v>
      </c>
      <c r="N279" s="2639">
        <v>70</v>
      </c>
      <c r="O279" s="2636"/>
      <c r="P279" s="2636">
        <v>55</v>
      </c>
      <c r="Q279" s="2636">
        <v>65</v>
      </c>
      <c r="R279" s="2636" t="s">
        <v>1007</v>
      </c>
      <c r="S279" s="2641" t="s">
        <v>1008</v>
      </c>
      <c r="T279" s="2360">
        <v>0</v>
      </c>
      <c r="U279" s="2361">
        <v>0</v>
      </c>
      <c r="V279" s="2362"/>
      <c r="W279" s="2363"/>
      <c r="X279" s="2362"/>
      <c r="Y279" s="2364" t="s">
        <v>1007</v>
      </c>
      <c r="Z279" s="2365"/>
      <c r="AA279" s="1108"/>
      <c r="AB279" s="1108"/>
      <c r="AC279" s="1108"/>
      <c r="AD279" s="1108"/>
      <c r="AE279" s="1108"/>
      <c r="AF279" s="1108"/>
      <c r="AG279" s="1108"/>
      <c r="AH279" s="1108"/>
      <c r="AI279" s="760"/>
      <c r="AJ279" s="760"/>
      <c r="AL279" s="2171"/>
      <c r="AM279" s="2172"/>
      <c r="AN279" s="2171"/>
      <c r="AO279" s="2172"/>
      <c r="AP279" s="2171"/>
      <c r="AQ279" s="2172"/>
      <c r="BL279" s="1934"/>
      <c r="BO279" s="760"/>
    </row>
    <row r="280" spans="1:67" ht="22.5" customHeight="1">
      <c r="A280" s="760"/>
      <c r="B280" s="485"/>
      <c r="C280" s="1950" t="s">
        <v>1301</v>
      </c>
      <c r="D280" s="2017"/>
      <c r="E280" s="2289"/>
      <c r="F280" s="1951"/>
      <c r="G280" s="1953" t="s">
        <v>1069</v>
      </c>
      <c r="H280" s="1951">
        <v>70</v>
      </c>
      <c r="I280" s="1953" t="s">
        <v>1070</v>
      </c>
      <c r="J280" s="1951">
        <v>110</v>
      </c>
      <c r="K280" s="2351">
        <v>70</v>
      </c>
      <c r="L280" s="2352">
        <v>110</v>
      </c>
      <c r="M280" s="2638">
        <v>40</v>
      </c>
      <c r="N280" s="2639">
        <v>30</v>
      </c>
      <c r="O280" s="2640"/>
      <c r="P280" s="2640">
        <v>25</v>
      </c>
      <c r="Q280" s="2640">
        <v>30</v>
      </c>
      <c r="R280" s="2640">
        <v>15</v>
      </c>
      <c r="S280" s="2641" t="s">
        <v>226</v>
      </c>
      <c r="T280" s="2360">
        <v>115</v>
      </c>
      <c r="U280" s="2361">
        <v>95</v>
      </c>
      <c r="V280" s="2362"/>
      <c r="W280" s="2363">
        <v>75</v>
      </c>
      <c r="X280" s="2362">
        <v>100</v>
      </c>
      <c r="Y280" s="2364">
        <v>40</v>
      </c>
      <c r="Z280" s="2365" t="s">
        <v>226</v>
      </c>
      <c r="AA280" s="1108"/>
      <c r="AB280" s="1108"/>
      <c r="AC280" s="1108"/>
      <c r="AD280" s="1108"/>
      <c r="AE280" s="1108"/>
      <c r="AF280" s="1108"/>
      <c r="AG280" s="1108"/>
      <c r="AH280" s="1108"/>
      <c r="AI280" s="760"/>
      <c r="AJ280" s="760"/>
      <c r="AL280" s="2171"/>
      <c r="AM280" s="2172"/>
      <c r="AN280" s="2171"/>
      <c r="AO280" s="2172"/>
      <c r="AP280" s="2171"/>
      <c r="AQ280" s="2172"/>
      <c r="BL280" s="1934"/>
      <c r="BO280" s="760"/>
    </row>
    <row r="281" spans="1:67" ht="22.5" customHeight="1">
      <c r="A281" s="760"/>
      <c r="B281" s="485"/>
      <c r="C281" s="1950" t="s">
        <v>1958</v>
      </c>
      <c r="D281" s="2017"/>
      <c r="E281" s="2289"/>
      <c r="F281" s="1951"/>
      <c r="G281" s="1953" t="s">
        <v>1959</v>
      </c>
      <c r="H281" s="1951">
        <v>70</v>
      </c>
      <c r="I281" s="1953" t="s">
        <v>1169</v>
      </c>
      <c r="J281" s="1951">
        <v>100</v>
      </c>
      <c r="K281" s="2351">
        <v>70</v>
      </c>
      <c r="L281" s="2352">
        <v>100</v>
      </c>
      <c r="M281" s="2638">
        <v>55</v>
      </c>
      <c r="N281" s="2639">
        <v>45</v>
      </c>
      <c r="O281" s="2640"/>
      <c r="P281" s="2640">
        <v>35</v>
      </c>
      <c r="Q281" s="2640">
        <v>35</v>
      </c>
      <c r="R281" s="2640">
        <v>20</v>
      </c>
      <c r="S281" s="2641" t="s">
        <v>226</v>
      </c>
      <c r="T281" s="2360">
        <v>180</v>
      </c>
      <c r="U281" s="2361">
        <v>150</v>
      </c>
      <c r="V281" s="2362"/>
      <c r="W281" s="2363">
        <v>120</v>
      </c>
      <c r="X281" s="2362">
        <v>120</v>
      </c>
      <c r="Y281" s="2364">
        <v>60</v>
      </c>
      <c r="Z281" s="2365" t="s">
        <v>226</v>
      </c>
      <c r="AA281" s="1108"/>
      <c r="AB281" s="1108"/>
      <c r="AC281" s="1108"/>
      <c r="AD281" s="1108"/>
      <c r="AE281" s="1108"/>
      <c r="AF281" s="1108"/>
      <c r="AG281" s="1108"/>
      <c r="AH281" s="1108"/>
      <c r="AI281" s="760"/>
      <c r="AJ281" s="760"/>
      <c r="AL281" s="2171"/>
      <c r="AM281" s="2172"/>
      <c r="AN281" s="2171"/>
      <c r="AO281" s="2172"/>
      <c r="AP281" s="2171"/>
      <c r="AQ281" s="2172"/>
      <c r="BL281" s="1934"/>
      <c r="BO281" s="760"/>
    </row>
    <row r="282" spans="1:67" ht="22.5" customHeight="1">
      <c r="A282" s="760"/>
      <c r="B282" s="485"/>
      <c r="C282" s="1950" t="s">
        <v>1960</v>
      </c>
      <c r="D282" s="2017"/>
      <c r="E282" s="2289" t="s">
        <v>226</v>
      </c>
      <c r="F282" s="1951"/>
      <c r="G282" s="1953" t="s">
        <v>226</v>
      </c>
      <c r="H282" s="1951">
        <v>0</v>
      </c>
      <c r="I282" s="1953" t="s">
        <v>226</v>
      </c>
      <c r="J282" s="1951">
        <v>0</v>
      </c>
      <c r="K282" s="2351"/>
      <c r="L282" s="2352"/>
      <c r="M282" s="2638">
        <v>0</v>
      </c>
      <c r="N282" s="2639">
        <v>0</v>
      </c>
      <c r="O282" s="2640"/>
      <c r="P282" s="2640">
        <v>0</v>
      </c>
      <c r="Q282" s="2640">
        <v>0</v>
      </c>
      <c r="R282" s="2640">
        <v>0</v>
      </c>
      <c r="S282" s="2641" t="s">
        <v>226</v>
      </c>
      <c r="T282" s="2360">
        <v>0</v>
      </c>
      <c r="U282" s="2361">
        <v>0</v>
      </c>
      <c r="V282" s="2362"/>
      <c r="W282" s="2363">
        <v>0</v>
      </c>
      <c r="X282" s="2362">
        <v>0</v>
      </c>
      <c r="Y282" s="2364">
        <v>0</v>
      </c>
      <c r="Z282" s="2365" t="s">
        <v>226</v>
      </c>
      <c r="AA282" s="1108"/>
      <c r="AB282" s="1108"/>
      <c r="AC282" s="1108"/>
      <c r="AD282" s="1108"/>
      <c r="AE282" s="1108"/>
      <c r="AF282" s="1108"/>
      <c r="AG282" s="1108"/>
      <c r="AH282" s="1108"/>
      <c r="AI282" s="760"/>
      <c r="AJ282" s="760"/>
      <c r="AL282" s="2171"/>
      <c r="AM282" s="2172"/>
      <c r="AN282" s="2171"/>
      <c r="AO282" s="2172"/>
      <c r="AP282" s="2171"/>
      <c r="AQ282" s="2172"/>
      <c r="BL282" s="1934"/>
      <c r="BO282" s="760"/>
    </row>
    <row r="283" spans="1:67" ht="22.5" customHeight="1">
      <c r="A283" s="760"/>
      <c r="B283" s="485"/>
      <c r="C283" s="1950" t="s">
        <v>1302</v>
      </c>
      <c r="D283" s="2017"/>
      <c r="E283" s="2289"/>
      <c r="F283" s="1951"/>
      <c r="G283" s="1953" t="s">
        <v>1069</v>
      </c>
      <c r="H283" s="1951">
        <v>70</v>
      </c>
      <c r="I283" s="1953" t="s">
        <v>1070</v>
      </c>
      <c r="J283" s="1951">
        <v>110</v>
      </c>
      <c r="K283" s="2351">
        <v>70</v>
      </c>
      <c r="L283" s="2352">
        <v>110</v>
      </c>
      <c r="M283" s="2638">
        <v>40</v>
      </c>
      <c r="N283" s="2639">
        <v>30</v>
      </c>
      <c r="O283" s="2640"/>
      <c r="P283" s="2640">
        <v>25</v>
      </c>
      <c r="Q283" s="2640">
        <v>30</v>
      </c>
      <c r="R283" s="2640">
        <v>15</v>
      </c>
      <c r="S283" s="2641" t="s">
        <v>226</v>
      </c>
      <c r="T283" s="2360">
        <v>115</v>
      </c>
      <c r="U283" s="2361">
        <v>95</v>
      </c>
      <c r="V283" s="2362"/>
      <c r="W283" s="2363">
        <v>75</v>
      </c>
      <c r="X283" s="2362">
        <v>100</v>
      </c>
      <c r="Y283" s="2364">
        <v>40</v>
      </c>
      <c r="Z283" s="2365" t="s">
        <v>226</v>
      </c>
      <c r="AA283" s="1108"/>
      <c r="AB283" s="1108"/>
      <c r="AC283" s="1108"/>
      <c r="AD283" s="1108"/>
      <c r="AE283" s="1108"/>
      <c r="AF283" s="1108"/>
      <c r="AG283" s="1108"/>
      <c r="AH283" s="1108"/>
      <c r="AI283" s="760"/>
      <c r="AJ283" s="760"/>
      <c r="BL283" s="1934"/>
      <c r="BO283" s="760"/>
    </row>
    <row r="284" spans="1:67" ht="22.5" customHeight="1">
      <c r="A284" s="760"/>
      <c r="B284" s="485"/>
      <c r="C284" s="1950" t="s">
        <v>1303</v>
      </c>
      <c r="D284" s="2017"/>
      <c r="E284" s="2289"/>
      <c r="F284" s="1951"/>
      <c r="G284" s="1953" t="s">
        <v>1069</v>
      </c>
      <c r="H284" s="1951">
        <v>70</v>
      </c>
      <c r="I284" s="1953" t="s">
        <v>1070</v>
      </c>
      <c r="J284" s="1951">
        <v>110</v>
      </c>
      <c r="K284" s="2351">
        <v>70</v>
      </c>
      <c r="L284" s="2352">
        <v>110</v>
      </c>
      <c r="M284" s="2638">
        <v>40</v>
      </c>
      <c r="N284" s="2639">
        <v>30</v>
      </c>
      <c r="O284" s="2640"/>
      <c r="P284" s="2640">
        <v>25</v>
      </c>
      <c r="Q284" s="2640">
        <v>30</v>
      </c>
      <c r="R284" s="2640">
        <v>15</v>
      </c>
      <c r="S284" s="2641" t="s">
        <v>226</v>
      </c>
      <c r="T284" s="2360">
        <v>115</v>
      </c>
      <c r="U284" s="2361">
        <v>95</v>
      </c>
      <c r="V284" s="2362"/>
      <c r="W284" s="2363">
        <v>75</v>
      </c>
      <c r="X284" s="2362">
        <v>100</v>
      </c>
      <c r="Y284" s="2364">
        <v>40</v>
      </c>
      <c r="Z284" s="2365" t="s">
        <v>226</v>
      </c>
      <c r="AA284" s="1108"/>
      <c r="AB284" s="1108"/>
      <c r="AC284" s="1108"/>
      <c r="AD284" s="1108"/>
      <c r="AE284" s="1108"/>
      <c r="AF284" s="1108"/>
      <c r="AG284" s="1108"/>
      <c r="AH284" s="1108"/>
      <c r="AI284" s="760"/>
      <c r="AJ284" s="760"/>
      <c r="BL284" s="1934"/>
      <c r="BO284" s="760"/>
    </row>
    <row r="285" spans="1:67" ht="22.5" customHeight="1">
      <c r="A285" s="760"/>
      <c r="B285" s="485"/>
      <c r="C285" s="1950" t="s">
        <v>1304</v>
      </c>
      <c r="D285" s="2017"/>
      <c r="E285" s="2289"/>
      <c r="F285" s="1951"/>
      <c r="G285" s="1953" t="s">
        <v>1953</v>
      </c>
      <c r="H285" s="1951">
        <v>90</v>
      </c>
      <c r="I285" s="1953" t="s">
        <v>1122</v>
      </c>
      <c r="J285" s="1951">
        <v>120</v>
      </c>
      <c r="K285" s="2351">
        <v>90</v>
      </c>
      <c r="L285" s="2352">
        <v>120</v>
      </c>
      <c r="M285" s="2638">
        <v>40</v>
      </c>
      <c r="N285" s="2639">
        <v>30</v>
      </c>
      <c r="O285" s="2640"/>
      <c r="P285" s="2640">
        <v>25</v>
      </c>
      <c r="Q285" s="2640">
        <v>35</v>
      </c>
      <c r="R285" s="2640">
        <v>15</v>
      </c>
      <c r="S285" s="2641" t="s">
        <v>226</v>
      </c>
      <c r="T285" s="2360">
        <v>100</v>
      </c>
      <c r="U285" s="2361">
        <v>80</v>
      </c>
      <c r="V285" s="2362"/>
      <c r="W285" s="2363">
        <v>65</v>
      </c>
      <c r="X285" s="2362">
        <v>75</v>
      </c>
      <c r="Y285" s="2364">
        <v>35</v>
      </c>
      <c r="Z285" s="2365" t="s">
        <v>226</v>
      </c>
      <c r="AA285" s="1108"/>
      <c r="AB285" s="1108"/>
      <c r="AC285" s="1108"/>
      <c r="AD285" s="1108"/>
      <c r="AE285" s="1108"/>
      <c r="AF285" s="1108"/>
      <c r="AG285" s="1108"/>
      <c r="AH285" s="1108"/>
      <c r="AI285" s="760"/>
      <c r="AJ285" s="760"/>
      <c r="BL285" s="1934"/>
      <c r="BO285" s="760"/>
    </row>
    <row r="286" spans="1:67" ht="22.5" customHeight="1">
      <c r="A286" s="760"/>
      <c r="B286" s="485"/>
      <c r="C286" s="1950" t="s">
        <v>1305</v>
      </c>
      <c r="D286" s="2017"/>
      <c r="E286" s="2289"/>
      <c r="F286" s="1951"/>
      <c r="G286" s="1953" t="s">
        <v>1959</v>
      </c>
      <c r="H286" s="1951">
        <v>70</v>
      </c>
      <c r="I286" s="1953" t="s">
        <v>1169</v>
      </c>
      <c r="J286" s="1951">
        <v>100</v>
      </c>
      <c r="K286" s="2351">
        <v>70</v>
      </c>
      <c r="L286" s="2352">
        <v>100</v>
      </c>
      <c r="M286" s="2638">
        <v>40</v>
      </c>
      <c r="N286" s="2639">
        <v>30</v>
      </c>
      <c r="O286" s="2640"/>
      <c r="P286" s="2640">
        <v>25</v>
      </c>
      <c r="Q286" s="2640">
        <v>35</v>
      </c>
      <c r="R286" s="2640">
        <v>15</v>
      </c>
      <c r="S286" s="2641" t="s">
        <v>226</v>
      </c>
      <c r="T286" s="2360">
        <v>135</v>
      </c>
      <c r="U286" s="2361">
        <v>115</v>
      </c>
      <c r="V286" s="2362"/>
      <c r="W286" s="2363">
        <v>90</v>
      </c>
      <c r="X286" s="2362">
        <v>120</v>
      </c>
      <c r="Y286" s="2364">
        <v>45</v>
      </c>
      <c r="Z286" s="2365" t="s">
        <v>226</v>
      </c>
      <c r="AA286" s="1108"/>
      <c r="AB286" s="1108"/>
      <c r="AC286" s="1108"/>
      <c r="AD286" s="1108"/>
      <c r="AE286" s="1108"/>
      <c r="AF286" s="1108"/>
      <c r="AG286" s="1108"/>
      <c r="AH286" s="1108"/>
      <c r="AI286" s="760"/>
      <c r="AJ286" s="760"/>
      <c r="BL286" s="1934"/>
      <c r="BO286" s="760"/>
    </row>
    <row r="287" spans="1:67" ht="22.5" customHeight="1">
      <c r="A287" s="760"/>
      <c r="B287" s="485"/>
      <c r="C287" s="1950" t="s">
        <v>1961</v>
      </c>
      <c r="D287" s="2017"/>
      <c r="E287" s="2359" t="s">
        <v>1086</v>
      </c>
      <c r="F287" s="1951"/>
      <c r="G287" s="1953"/>
      <c r="H287" s="1951"/>
      <c r="I287" s="1953"/>
      <c r="J287" s="1951"/>
      <c r="K287" s="2351"/>
      <c r="L287" s="2352"/>
      <c r="M287" s="2638">
        <v>85</v>
      </c>
      <c r="N287" s="2639">
        <v>70</v>
      </c>
      <c r="O287" s="2640"/>
      <c r="P287" s="2640">
        <v>55</v>
      </c>
      <c r="Q287" s="2640">
        <v>65</v>
      </c>
      <c r="R287" s="2640" t="s">
        <v>1007</v>
      </c>
      <c r="S287" s="2641" t="s">
        <v>1008</v>
      </c>
      <c r="T287" s="2360">
        <v>0</v>
      </c>
      <c r="U287" s="2361">
        <v>0</v>
      </c>
      <c r="V287" s="2362"/>
      <c r="W287" s="2363"/>
      <c r="X287" s="2362"/>
      <c r="Y287" s="2364" t="s">
        <v>1007</v>
      </c>
      <c r="Z287" s="2365"/>
      <c r="AA287" s="1108"/>
      <c r="AB287" s="1108"/>
      <c r="AC287" s="1108"/>
      <c r="AD287" s="1108"/>
      <c r="AE287" s="1108"/>
      <c r="AF287" s="1108"/>
      <c r="AG287" s="1108"/>
      <c r="AH287" s="1108"/>
      <c r="AI287" s="760"/>
      <c r="AJ287" s="760"/>
      <c r="BL287" s="1934"/>
      <c r="BO287" s="760"/>
    </row>
    <row r="288" spans="1:67" ht="22.5" customHeight="1">
      <c r="A288" s="760"/>
      <c r="B288" s="485"/>
      <c r="C288" s="1950" t="s">
        <v>1306</v>
      </c>
      <c r="D288" s="2017"/>
      <c r="E288" s="2289"/>
      <c r="F288" s="1847"/>
      <c r="G288" s="2341" t="s">
        <v>1821</v>
      </c>
      <c r="H288" s="1847">
        <v>90</v>
      </c>
      <c r="I288" s="2341" t="s">
        <v>1147</v>
      </c>
      <c r="J288" s="1847">
        <v>120</v>
      </c>
      <c r="K288" s="2342">
        <v>90</v>
      </c>
      <c r="L288" s="2343">
        <v>120</v>
      </c>
      <c r="M288" s="2638">
        <v>85</v>
      </c>
      <c r="N288" s="2639">
        <v>70</v>
      </c>
      <c r="O288" s="2636"/>
      <c r="P288" s="2636">
        <v>55</v>
      </c>
      <c r="Q288" s="2636">
        <v>70</v>
      </c>
      <c r="R288" s="2636">
        <v>30</v>
      </c>
      <c r="S288" s="2641" t="s">
        <v>226</v>
      </c>
      <c r="T288" s="2360">
        <v>195</v>
      </c>
      <c r="U288" s="2361">
        <v>165</v>
      </c>
      <c r="V288" s="2362"/>
      <c r="W288" s="2363">
        <v>130</v>
      </c>
      <c r="X288" s="2362">
        <v>170</v>
      </c>
      <c r="Y288" s="2364">
        <v>65</v>
      </c>
      <c r="Z288" s="2365" t="s">
        <v>226</v>
      </c>
      <c r="AA288" s="1108"/>
      <c r="AB288" s="1108"/>
      <c r="AC288" s="1108"/>
      <c r="AD288" s="1108"/>
      <c r="AE288" s="1108"/>
      <c r="AF288" s="1108"/>
      <c r="AG288" s="1108"/>
      <c r="AH288" s="1108"/>
      <c r="AI288" s="760"/>
      <c r="AJ288" s="760"/>
      <c r="BL288" s="1934"/>
      <c r="BO288" s="760"/>
    </row>
    <row r="289" spans="1:67" ht="22.5" customHeight="1">
      <c r="A289" s="760"/>
      <c r="B289" s="485"/>
      <c r="C289" s="1950" t="s">
        <v>1307</v>
      </c>
      <c r="D289" s="2017"/>
      <c r="E289" s="2289" t="s">
        <v>226</v>
      </c>
      <c r="F289" s="1951"/>
      <c r="G289" s="1953" t="s">
        <v>1962</v>
      </c>
      <c r="H289" s="1951">
        <v>50</v>
      </c>
      <c r="I289" s="1953" t="s">
        <v>1963</v>
      </c>
      <c r="J289" s="1951">
        <v>70</v>
      </c>
      <c r="K289" s="2351"/>
      <c r="L289" s="2352"/>
      <c r="M289" s="2638">
        <v>45</v>
      </c>
      <c r="N289" s="2639">
        <v>40</v>
      </c>
      <c r="O289" s="2640"/>
      <c r="P289" s="2640">
        <v>30</v>
      </c>
      <c r="Q289" s="2640">
        <v>35</v>
      </c>
      <c r="R289" s="2640">
        <v>15</v>
      </c>
      <c r="S289" s="2641" t="s">
        <v>226</v>
      </c>
      <c r="T289" s="2360">
        <v>135</v>
      </c>
      <c r="U289" s="2361">
        <v>115</v>
      </c>
      <c r="V289" s="2362"/>
      <c r="W289" s="2363">
        <v>90</v>
      </c>
      <c r="X289" s="2362">
        <v>95</v>
      </c>
      <c r="Y289" s="2364">
        <v>45</v>
      </c>
      <c r="Z289" s="2365" t="s">
        <v>226</v>
      </c>
      <c r="AA289" s="1108"/>
      <c r="AB289" s="1108"/>
      <c r="AC289" s="1108"/>
      <c r="AD289" s="1108"/>
      <c r="AE289" s="1108"/>
      <c r="AF289" s="1108"/>
      <c r="AG289" s="1108"/>
      <c r="AH289" s="1108"/>
      <c r="AI289" s="760"/>
      <c r="AJ289" s="760"/>
      <c r="BL289" s="1934"/>
      <c r="BO289" s="760"/>
    </row>
    <row r="290" spans="1:67" ht="22.5" customHeight="1">
      <c r="A290" s="760"/>
      <c r="B290" s="485"/>
      <c r="C290" s="1950" t="s">
        <v>1964</v>
      </c>
      <c r="D290" s="2017"/>
      <c r="E290" s="2289"/>
      <c r="F290" s="1951"/>
      <c r="G290" s="1953" t="s">
        <v>1965</v>
      </c>
      <c r="H290" s="1951">
        <v>90</v>
      </c>
      <c r="I290" s="1953" t="s">
        <v>1122</v>
      </c>
      <c r="J290" s="1951">
        <v>120</v>
      </c>
      <c r="K290" s="2351">
        <v>90</v>
      </c>
      <c r="L290" s="2352">
        <v>120</v>
      </c>
      <c r="M290" s="2638">
        <v>85</v>
      </c>
      <c r="N290" s="2639">
        <v>70</v>
      </c>
      <c r="O290" s="2640"/>
      <c r="P290" s="2640">
        <v>55</v>
      </c>
      <c r="Q290" s="2640">
        <v>70</v>
      </c>
      <c r="R290" s="2640">
        <v>30</v>
      </c>
      <c r="S290" s="2641" t="s">
        <v>226</v>
      </c>
      <c r="T290" s="2360">
        <v>195</v>
      </c>
      <c r="U290" s="2361">
        <v>165</v>
      </c>
      <c r="V290" s="2362"/>
      <c r="W290" s="2363">
        <v>130</v>
      </c>
      <c r="X290" s="2362">
        <v>170</v>
      </c>
      <c r="Y290" s="2364">
        <v>65</v>
      </c>
      <c r="Z290" s="2365" t="s">
        <v>226</v>
      </c>
      <c r="AA290" s="1108"/>
      <c r="AB290" s="1108"/>
      <c r="AC290" s="1108"/>
      <c r="AD290" s="1108"/>
      <c r="AE290" s="1108"/>
      <c r="AF290" s="1108"/>
      <c r="AG290" s="1108"/>
      <c r="AH290" s="1108"/>
      <c r="AI290" s="760"/>
      <c r="AJ290" s="760"/>
      <c r="BL290" s="1934"/>
      <c r="BO290" s="760"/>
    </row>
    <row r="291" spans="1:67" ht="22.5" customHeight="1">
      <c r="A291" s="760"/>
      <c r="B291" s="485"/>
      <c r="C291" s="1950" t="s">
        <v>1966</v>
      </c>
      <c r="D291" s="2017"/>
      <c r="E291" s="2289" t="s">
        <v>226</v>
      </c>
      <c r="F291" s="1951"/>
      <c r="G291" s="1953" t="s">
        <v>226</v>
      </c>
      <c r="H291" s="1951">
        <v>0</v>
      </c>
      <c r="I291" s="1953" t="s">
        <v>226</v>
      </c>
      <c r="J291" s="1951">
        <v>0</v>
      </c>
      <c r="K291" s="2351"/>
      <c r="L291" s="2352"/>
      <c r="M291" s="2638">
        <v>0</v>
      </c>
      <c r="N291" s="2639">
        <v>0</v>
      </c>
      <c r="O291" s="2640"/>
      <c r="P291" s="2640">
        <v>0</v>
      </c>
      <c r="Q291" s="2640">
        <v>0</v>
      </c>
      <c r="R291" s="2640">
        <v>0</v>
      </c>
      <c r="S291" s="2641" t="s">
        <v>226</v>
      </c>
      <c r="T291" s="2360">
        <v>0</v>
      </c>
      <c r="U291" s="2361">
        <v>0</v>
      </c>
      <c r="V291" s="2362"/>
      <c r="W291" s="2363">
        <v>0</v>
      </c>
      <c r="X291" s="2362">
        <v>0</v>
      </c>
      <c r="Y291" s="2364">
        <v>0</v>
      </c>
      <c r="Z291" s="2365" t="s">
        <v>226</v>
      </c>
      <c r="AA291" s="1108"/>
      <c r="AB291" s="1108"/>
      <c r="AC291" s="1108"/>
      <c r="AD291" s="1108"/>
      <c r="AE291" s="1108"/>
      <c r="AF291" s="1108"/>
      <c r="AG291" s="1108"/>
      <c r="AH291" s="1108"/>
      <c r="AI291" s="760"/>
      <c r="AJ291" s="760"/>
      <c r="BL291" s="1934"/>
      <c r="BO291" s="760"/>
    </row>
    <row r="292" spans="1:67" ht="22.5" customHeight="1">
      <c r="A292" s="760"/>
      <c r="B292" s="485"/>
      <c r="C292" s="1950" t="s">
        <v>1308</v>
      </c>
      <c r="D292" s="2017"/>
      <c r="E292" s="2289"/>
      <c r="F292" s="1951"/>
      <c r="G292" s="1953" t="s">
        <v>1967</v>
      </c>
      <c r="H292" s="1951">
        <v>60</v>
      </c>
      <c r="I292" s="1953" t="s">
        <v>1035</v>
      </c>
      <c r="J292" s="1951">
        <v>90</v>
      </c>
      <c r="K292" s="2351">
        <v>60</v>
      </c>
      <c r="L292" s="2352">
        <v>90</v>
      </c>
      <c r="M292" s="2638">
        <v>55</v>
      </c>
      <c r="N292" s="2639">
        <v>45</v>
      </c>
      <c r="O292" s="2640"/>
      <c r="P292" s="2640">
        <v>35</v>
      </c>
      <c r="Q292" s="2640">
        <v>45</v>
      </c>
      <c r="R292" s="2640">
        <v>20</v>
      </c>
      <c r="S292" s="2641" t="s">
        <v>226</v>
      </c>
      <c r="T292" s="2360">
        <v>130</v>
      </c>
      <c r="U292" s="2361">
        <v>105</v>
      </c>
      <c r="V292" s="2362"/>
      <c r="W292" s="2363">
        <v>85</v>
      </c>
      <c r="X292" s="2362">
        <v>115</v>
      </c>
      <c r="Y292" s="2364">
        <v>45</v>
      </c>
      <c r="Z292" s="2365" t="s">
        <v>226</v>
      </c>
      <c r="AA292" s="1108"/>
      <c r="AB292" s="1108"/>
      <c r="AC292" s="1108"/>
      <c r="AD292" s="1108"/>
      <c r="AE292" s="1108"/>
      <c r="AF292" s="1108"/>
      <c r="AG292" s="1108"/>
      <c r="AH292" s="1108"/>
      <c r="AI292" s="760"/>
      <c r="AJ292" s="760"/>
      <c r="BL292" s="1934"/>
      <c r="BO292" s="760"/>
    </row>
    <row r="293" spans="1:67" ht="22.5" customHeight="1">
      <c r="A293" s="760"/>
      <c r="B293" s="485"/>
      <c r="C293" s="1950" t="s">
        <v>1309</v>
      </c>
      <c r="D293" s="2017"/>
      <c r="E293" s="2289"/>
      <c r="F293" s="1951"/>
      <c r="G293" s="1953" t="s">
        <v>1959</v>
      </c>
      <c r="H293" s="1951">
        <v>70</v>
      </c>
      <c r="I293" s="1953" t="s">
        <v>1169</v>
      </c>
      <c r="J293" s="1951">
        <v>100</v>
      </c>
      <c r="K293" s="2351">
        <v>70</v>
      </c>
      <c r="L293" s="2352">
        <v>100</v>
      </c>
      <c r="M293" s="2638">
        <v>40</v>
      </c>
      <c r="N293" s="2639">
        <v>30</v>
      </c>
      <c r="O293" s="2640"/>
      <c r="P293" s="2640">
        <v>25</v>
      </c>
      <c r="Q293" s="2640">
        <v>35</v>
      </c>
      <c r="R293" s="2640">
        <v>15</v>
      </c>
      <c r="S293" s="2641" t="s">
        <v>226</v>
      </c>
      <c r="T293" s="2360">
        <v>135</v>
      </c>
      <c r="U293" s="2361">
        <v>115</v>
      </c>
      <c r="V293" s="2362"/>
      <c r="W293" s="2363">
        <v>90</v>
      </c>
      <c r="X293" s="2362">
        <v>120</v>
      </c>
      <c r="Y293" s="2364">
        <v>45</v>
      </c>
      <c r="Z293" s="2365" t="s">
        <v>226</v>
      </c>
      <c r="AA293" s="1108"/>
      <c r="AB293" s="1108"/>
      <c r="AC293" s="1108"/>
      <c r="AD293" s="1108"/>
      <c r="AE293" s="1108"/>
      <c r="AF293" s="1108"/>
      <c r="AG293" s="1108"/>
      <c r="AH293" s="1108"/>
      <c r="AI293" s="760"/>
      <c r="AJ293" s="760"/>
      <c r="BL293" s="1934"/>
      <c r="BO293" s="760"/>
    </row>
    <row r="294" spans="1:67" ht="22.5" customHeight="1">
      <c r="A294" s="760"/>
      <c r="B294" s="485"/>
      <c r="C294" s="1950" t="s">
        <v>1310</v>
      </c>
      <c r="D294" s="2017"/>
      <c r="E294" s="2289"/>
      <c r="F294" s="1951"/>
      <c r="G294" s="1953" t="s">
        <v>1959</v>
      </c>
      <c r="H294" s="1951">
        <v>70</v>
      </c>
      <c r="I294" s="1953" t="s">
        <v>1169</v>
      </c>
      <c r="J294" s="1951">
        <v>100</v>
      </c>
      <c r="K294" s="2351">
        <v>70</v>
      </c>
      <c r="L294" s="2352">
        <v>100</v>
      </c>
      <c r="M294" s="2638">
        <v>40</v>
      </c>
      <c r="N294" s="2639">
        <v>30</v>
      </c>
      <c r="O294" s="2640"/>
      <c r="P294" s="2640">
        <v>25</v>
      </c>
      <c r="Q294" s="2640">
        <v>35</v>
      </c>
      <c r="R294" s="2640">
        <v>15</v>
      </c>
      <c r="S294" s="2641" t="s">
        <v>226</v>
      </c>
      <c r="T294" s="2360">
        <v>135</v>
      </c>
      <c r="U294" s="2361">
        <v>115</v>
      </c>
      <c r="V294" s="2362"/>
      <c r="W294" s="2363">
        <v>90</v>
      </c>
      <c r="X294" s="2362">
        <v>120</v>
      </c>
      <c r="Y294" s="2364">
        <v>45</v>
      </c>
      <c r="Z294" s="2365" t="s">
        <v>226</v>
      </c>
      <c r="AA294" s="1108"/>
      <c r="AB294" s="1108"/>
      <c r="AC294" s="1108"/>
      <c r="AD294" s="1108"/>
      <c r="AE294" s="1108"/>
      <c r="AF294" s="1108"/>
      <c r="AG294" s="1108"/>
      <c r="AH294" s="1108"/>
      <c r="AI294" s="760"/>
      <c r="AJ294" s="760"/>
      <c r="BL294" s="1934"/>
      <c r="BO294" s="760"/>
    </row>
    <row r="295" spans="1:67" ht="22.5" customHeight="1">
      <c r="A295" s="760"/>
      <c r="B295" s="485"/>
      <c r="C295" s="1950" t="s">
        <v>1311</v>
      </c>
      <c r="D295" s="2017"/>
      <c r="E295" s="2289"/>
      <c r="F295" s="1951"/>
      <c r="G295" s="1953" t="s">
        <v>1821</v>
      </c>
      <c r="H295" s="1951">
        <v>70</v>
      </c>
      <c r="I295" s="1953" t="s">
        <v>1147</v>
      </c>
      <c r="J295" s="1951">
        <v>110</v>
      </c>
      <c r="K295" s="2351">
        <v>70</v>
      </c>
      <c r="L295" s="2352">
        <v>110</v>
      </c>
      <c r="M295" s="2638">
        <v>40</v>
      </c>
      <c r="N295" s="2639">
        <v>30</v>
      </c>
      <c r="O295" s="2640"/>
      <c r="P295" s="2640">
        <v>25</v>
      </c>
      <c r="Q295" s="2640">
        <v>30</v>
      </c>
      <c r="R295" s="2640">
        <v>15</v>
      </c>
      <c r="S295" s="2641" t="s">
        <v>226</v>
      </c>
      <c r="T295" s="2360">
        <v>115</v>
      </c>
      <c r="U295" s="2361">
        <v>95</v>
      </c>
      <c r="V295" s="2362"/>
      <c r="W295" s="2363">
        <v>75</v>
      </c>
      <c r="X295" s="2362">
        <v>100</v>
      </c>
      <c r="Y295" s="2364">
        <v>40</v>
      </c>
      <c r="Z295" s="2365" t="s">
        <v>226</v>
      </c>
      <c r="AA295" s="1108"/>
      <c r="AB295" s="1108"/>
      <c r="AC295" s="1108"/>
      <c r="AD295" s="1108"/>
      <c r="AE295" s="1108"/>
      <c r="AF295" s="1108"/>
      <c r="AG295" s="1108"/>
      <c r="AH295" s="1108"/>
      <c r="AI295" s="760"/>
      <c r="AJ295" s="760"/>
      <c r="BL295" s="1934"/>
      <c r="BO295" s="760"/>
    </row>
    <row r="296" spans="1:67" ht="22.5" customHeight="1" thickBot="1">
      <c r="A296" s="760"/>
      <c r="B296" s="485"/>
      <c r="C296" s="1954" t="s">
        <v>1312</v>
      </c>
      <c r="D296" s="2019"/>
      <c r="E296" s="2289"/>
      <c r="F296" s="1955"/>
      <c r="G296" s="2367" t="s">
        <v>1069</v>
      </c>
      <c r="H296" s="1955">
        <v>70</v>
      </c>
      <c r="I296" s="2367" t="s">
        <v>1070</v>
      </c>
      <c r="J296" s="1955">
        <v>110</v>
      </c>
      <c r="K296" s="2368">
        <v>70</v>
      </c>
      <c r="L296" s="2369">
        <v>110</v>
      </c>
      <c r="M296" s="2642">
        <v>40</v>
      </c>
      <c r="N296" s="2643">
        <v>30</v>
      </c>
      <c r="O296" s="2644"/>
      <c r="P296" s="2644">
        <v>25</v>
      </c>
      <c r="Q296" s="2644">
        <v>30</v>
      </c>
      <c r="R296" s="2644">
        <v>15</v>
      </c>
      <c r="S296" s="2645" t="s">
        <v>226</v>
      </c>
      <c r="T296" s="2370">
        <v>150</v>
      </c>
      <c r="U296" s="2371">
        <v>125</v>
      </c>
      <c r="V296" s="2372"/>
      <c r="W296" s="2373">
        <v>100</v>
      </c>
      <c r="X296" s="2372">
        <v>100</v>
      </c>
      <c r="Y296" s="2374">
        <v>50</v>
      </c>
      <c r="Z296" s="2375" t="s">
        <v>226</v>
      </c>
      <c r="AA296" s="1108"/>
      <c r="AB296" s="1108"/>
      <c r="AC296" s="1108"/>
      <c r="AD296" s="1108"/>
      <c r="AE296" s="1108"/>
      <c r="AF296" s="1108"/>
      <c r="AG296" s="1108"/>
      <c r="AH296" s="1108"/>
      <c r="AI296" s="760"/>
      <c r="AJ296" s="760"/>
      <c r="BL296" s="1934"/>
      <c r="BO296" s="760"/>
    </row>
    <row r="297" spans="1:67" ht="13.5" thickBot="1">
      <c r="A297" s="760"/>
      <c r="B297" s="485"/>
      <c r="C297" s="1108"/>
      <c r="D297" s="1108"/>
      <c r="E297" s="1108"/>
      <c r="F297" s="1108"/>
      <c r="G297" s="1108"/>
      <c r="H297" s="1108"/>
      <c r="I297" s="1108"/>
      <c r="J297" s="1108"/>
      <c r="K297" s="1108"/>
      <c r="L297" s="1108"/>
      <c r="M297" s="1108"/>
      <c r="N297" s="1108"/>
      <c r="O297" s="1108"/>
      <c r="P297" s="1108"/>
      <c r="Q297" s="1108"/>
      <c r="R297" s="1108"/>
      <c r="S297" s="1108"/>
      <c r="T297" s="1108"/>
      <c r="U297" s="1108"/>
      <c r="V297" s="1108"/>
      <c r="W297" s="1108"/>
      <c r="X297" s="1108"/>
      <c r="Y297" s="1108"/>
      <c r="Z297" s="1108"/>
      <c r="AA297" s="1108"/>
      <c r="AB297" s="1108"/>
      <c r="AC297" s="1108"/>
      <c r="AD297" s="1108"/>
      <c r="AE297" s="1108"/>
      <c r="AF297" s="1108"/>
      <c r="AG297" s="1108"/>
      <c r="AH297" s="1108"/>
      <c r="AI297" s="760"/>
      <c r="AJ297" s="760"/>
      <c r="BL297" s="1934"/>
      <c r="BO297" s="760"/>
    </row>
    <row r="298" spans="1:67" ht="27" customHeight="1" thickBot="1">
      <c r="A298" s="760"/>
      <c r="B298" s="485"/>
      <c r="C298" s="1848" t="s">
        <v>1313</v>
      </c>
      <c r="D298" s="2020"/>
      <c r="E298" s="2869" t="s">
        <v>910</v>
      </c>
      <c r="F298" s="2870"/>
      <c r="G298" s="2871" t="s">
        <v>120</v>
      </c>
      <c r="H298" s="2871"/>
      <c r="I298" s="2872" t="s">
        <v>983</v>
      </c>
      <c r="J298" s="2872"/>
      <c r="K298" s="2221" t="s">
        <v>120</v>
      </c>
      <c r="L298" s="2222" t="s">
        <v>983</v>
      </c>
      <c r="M298" s="2685" t="s">
        <v>990</v>
      </c>
      <c r="N298" s="2685" t="s">
        <v>991</v>
      </c>
      <c r="O298" s="2617" t="s">
        <v>910</v>
      </c>
      <c r="P298" s="2618" t="s">
        <v>120</v>
      </c>
      <c r="Q298" s="2619" t="s">
        <v>983</v>
      </c>
      <c r="R298" s="2686" t="s">
        <v>993</v>
      </c>
      <c r="S298" s="2687" t="s">
        <v>994</v>
      </c>
      <c r="T298" s="1943" t="s">
        <v>990</v>
      </c>
      <c r="U298" s="1944" t="s">
        <v>991</v>
      </c>
      <c r="V298" s="1945" t="s">
        <v>910</v>
      </c>
      <c r="W298" s="1946" t="s">
        <v>120</v>
      </c>
      <c r="X298" s="1947" t="s">
        <v>983</v>
      </c>
      <c r="Y298" s="1948" t="s">
        <v>993</v>
      </c>
      <c r="Z298" s="1949" t="s">
        <v>994</v>
      </c>
      <c r="AA298" s="1108"/>
      <c r="AB298" s="1108"/>
      <c r="AC298" s="1108"/>
      <c r="AD298" s="1108"/>
      <c r="AE298" s="1108"/>
      <c r="AF298" s="1108"/>
      <c r="AG298" s="1108"/>
      <c r="AH298" s="1108"/>
      <c r="AI298" s="760"/>
      <c r="AJ298" s="760"/>
      <c r="BL298" s="1934"/>
      <c r="BO298" s="760"/>
    </row>
    <row r="299" spans="1:67" ht="21.75" customHeight="1">
      <c r="A299" s="760"/>
      <c r="B299" s="485"/>
      <c r="C299" s="1851" t="s">
        <v>1314</v>
      </c>
      <c r="D299" s="2017"/>
      <c r="E299" s="2316" t="s">
        <v>226</v>
      </c>
      <c r="F299" s="2317">
        <v>30</v>
      </c>
      <c r="G299" s="2318" t="s">
        <v>226</v>
      </c>
      <c r="H299" s="2317">
        <v>30</v>
      </c>
      <c r="I299" s="2318" t="s">
        <v>226</v>
      </c>
      <c r="J299" s="2317">
        <v>30</v>
      </c>
      <c r="K299" s="2319"/>
      <c r="L299" s="2320"/>
      <c r="M299" s="2646">
        <v>300</v>
      </c>
      <c r="N299" s="2635">
        <v>150</v>
      </c>
      <c r="O299" s="2647">
        <v>75</v>
      </c>
      <c r="P299" s="2647">
        <v>75</v>
      </c>
      <c r="Q299" s="2647">
        <v>75</v>
      </c>
      <c r="R299" s="2648" t="s">
        <v>226</v>
      </c>
      <c r="S299" s="2637" t="s">
        <v>226</v>
      </c>
      <c r="T299" s="2321">
        <v>540</v>
      </c>
      <c r="U299" s="2322">
        <v>460</v>
      </c>
      <c r="V299" s="2323">
        <v>380</v>
      </c>
      <c r="W299" s="2324">
        <v>380</v>
      </c>
      <c r="X299" s="2323">
        <v>380</v>
      </c>
      <c r="Y299" s="2321" t="s">
        <v>226</v>
      </c>
      <c r="Z299" s="2325" t="s">
        <v>226</v>
      </c>
      <c r="AA299" s="1108"/>
      <c r="AB299" s="1108"/>
      <c r="AC299" s="1108"/>
      <c r="AD299" s="1108"/>
      <c r="AE299" s="1108"/>
      <c r="AF299" s="1108"/>
      <c r="AG299" s="1108"/>
      <c r="AH299" s="1108"/>
      <c r="AI299" s="760"/>
      <c r="AJ299" s="760"/>
      <c r="BL299" s="1934"/>
      <c r="BO299" s="760"/>
    </row>
    <row r="300" spans="1:67" ht="21.75" customHeight="1">
      <c r="A300" s="760"/>
      <c r="B300" s="485"/>
      <c r="C300" s="1851" t="s">
        <v>1968</v>
      </c>
      <c r="D300" s="2017"/>
      <c r="E300" s="2326" t="s">
        <v>226</v>
      </c>
      <c r="F300" s="1842">
        <v>0</v>
      </c>
      <c r="G300" s="2327" t="s">
        <v>226</v>
      </c>
      <c r="H300" s="1842">
        <v>0</v>
      </c>
      <c r="I300" s="2327" t="s">
        <v>226</v>
      </c>
      <c r="J300" s="1842">
        <v>0</v>
      </c>
      <c r="K300" s="2290"/>
      <c r="L300" s="2291"/>
      <c r="M300" s="2626">
        <v>0</v>
      </c>
      <c r="N300" s="2627">
        <v>0</v>
      </c>
      <c r="O300" s="2628">
        <v>0</v>
      </c>
      <c r="P300" s="2628">
        <v>0</v>
      </c>
      <c r="Q300" s="2628">
        <v>0</v>
      </c>
      <c r="R300" s="2649" t="s">
        <v>226</v>
      </c>
      <c r="S300" s="2629" t="s">
        <v>226</v>
      </c>
      <c r="T300" s="2301">
        <v>0</v>
      </c>
      <c r="U300" s="2328">
        <v>0</v>
      </c>
      <c r="V300" s="2329">
        <v>0</v>
      </c>
      <c r="W300" s="2330">
        <v>0</v>
      </c>
      <c r="X300" s="2329">
        <v>0</v>
      </c>
      <c r="Y300" s="2331" t="s">
        <v>226</v>
      </c>
      <c r="Z300" s="2332" t="s">
        <v>226</v>
      </c>
      <c r="AA300" s="1108"/>
      <c r="AB300" s="1108"/>
      <c r="AC300" s="1108"/>
      <c r="AD300" s="1108"/>
      <c r="AE300" s="1108"/>
      <c r="AF300" s="1108"/>
      <c r="AG300" s="1108"/>
      <c r="AH300" s="1108"/>
      <c r="AI300" s="760"/>
      <c r="AJ300" s="760"/>
      <c r="BL300" s="1934"/>
      <c r="BO300" s="760"/>
    </row>
    <row r="301" spans="1:67" ht="21.75" customHeight="1">
      <c r="A301" s="760"/>
      <c r="B301" s="485"/>
      <c r="C301" s="1851" t="s">
        <v>1315</v>
      </c>
      <c r="D301" s="2017"/>
      <c r="E301" s="2326" t="s">
        <v>1194</v>
      </c>
      <c r="F301" s="1842">
        <v>65</v>
      </c>
      <c r="G301" s="2327" t="s">
        <v>1969</v>
      </c>
      <c r="H301" s="1842">
        <v>80</v>
      </c>
      <c r="I301" s="2327" t="s">
        <v>1035</v>
      </c>
      <c r="J301" s="1842">
        <v>100</v>
      </c>
      <c r="K301" s="2290"/>
      <c r="L301" s="2291"/>
      <c r="M301" s="2626">
        <v>55</v>
      </c>
      <c r="N301" s="2627">
        <v>45</v>
      </c>
      <c r="O301" s="2628">
        <v>20</v>
      </c>
      <c r="P301" s="2628">
        <v>20</v>
      </c>
      <c r="Q301" s="2628">
        <v>20</v>
      </c>
      <c r="R301" s="2649" t="s">
        <v>226</v>
      </c>
      <c r="S301" s="2629" t="s">
        <v>226</v>
      </c>
      <c r="T301" s="2301">
        <v>120</v>
      </c>
      <c r="U301" s="2328">
        <v>100</v>
      </c>
      <c r="V301" s="2329">
        <v>80</v>
      </c>
      <c r="W301" s="2330">
        <v>80</v>
      </c>
      <c r="X301" s="2329">
        <v>80</v>
      </c>
      <c r="Y301" s="2331">
        <v>40</v>
      </c>
      <c r="Z301" s="2332" t="s">
        <v>226</v>
      </c>
      <c r="AA301" s="1108"/>
      <c r="AB301" s="1108"/>
      <c r="AC301" s="1108"/>
      <c r="AD301" s="1108"/>
      <c r="AE301" s="1108"/>
      <c r="AF301" s="1108"/>
      <c r="AG301" s="1108"/>
      <c r="AH301" s="1108"/>
      <c r="AI301" s="760"/>
      <c r="AJ301" s="760"/>
      <c r="BL301" s="1934"/>
      <c r="BO301" s="760"/>
    </row>
    <row r="302" spans="1:67" ht="21.75" customHeight="1">
      <c r="A302" s="760"/>
      <c r="B302" s="485"/>
      <c r="C302" s="1851" t="s">
        <v>1316</v>
      </c>
      <c r="D302" s="2017"/>
      <c r="E302" s="2326" t="s">
        <v>1194</v>
      </c>
      <c r="F302" s="1842">
        <v>65</v>
      </c>
      <c r="G302" s="2327" t="s">
        <v>1969</v>
      </c>
      <c r="H302" s="1842">
        <v>80</v>
      </c>
      <c r="I302" s="2327" t="s">
        <v>1035</v>
      </c>
      <c r="J302" s="1842">
        <v>100</v>
      </c>
      <c r="K302" s="2290"/>
      <c r="L302" s="2291"/>
      <c r="M302" s="2626">
        <v>55</v>
      </c>
      <c r="N302" s="2627">
        <v>45</v>
      </c>
      <c r="O302" s="2628">
        <v>20</v>
      </c>
      <c r="P302" s="2628">
        <v>20</v>
      </c>
      <c r="Q302" s="2628">
        <v>20</v>
      </c>
      <c r="R302" s="2649" t="s">
        <v>226</v>
      </c>
      <c r="S302" s="2629" t="s">
        <v>226</v>
      </c>
      <c r="T302" s="2301">
        <v>120</v>
      </c>
      <c r="U302" s="2328">
        <v>100</v>
      </c>
      <c r="V302" s="2329">
        <v>80</v>
      </c>
      <c r="W302" s="2330">
        <v>80</v>
      </c>
      <c r="X302" s="2329">
        <v>80</v>
      </c>
      <c r="Y302" s="2331">
        <v>40</v>
      </c>
      <c r="Z302" s="2332" t="s">
        <v>226</v>
      </c>
      <c r="AA302" s="1108"/>
      <c r="AB302" s="1108"/>
      <c r="AC302" s="1108"/>
      <c r="AD302" s="1108"/>
      <c r="AE302" s="1108"/>
      <c r="AF302" s="1108"/>
      <c r="AG302" s="1108"/>
      <c r="AH302" s="1108"/>
      <c r="AI302" s="760"/>
      <c r="AJ302" s="760"/>
      <c r="BL302" s="1934"/>
      <c r="BO302" s="760"/>
    </row>
    <row r="303" spans="1:67" ht="21.75" customHeight="1">
      <c r="A303" s="760"/>
      <c r="B303" s="485"/>
      <c r="C303" s="1851" t="s">
        <v>1317</v>
      </c>
      <c r="D303" s="2017"/>
      <c r="E303" s="2326" t="s">
        <v>1194</v>
      </c>
      <c r="F303" s="1842">
        <v>65</v>
      </c>
      <c r="G303" s="2327" t="s">
        <v>1969</v>
      </c>
      <c r="H303" s="1842">
        <v>80</v>
      </c>
      <c r="I303" s="2327" t="s">
        <v>1035</v>
      </c>
      <c r="J303" s="1842">
        <v>100</v>
      </c>
      <c r="K303" s="2290"/>
      <c r="L303" s="2291"/>
      <c r="M303" s="2626">
        <v>105</v>
      </c>
      <c r="N303" s="2627">
        <v>90</v>
      </c>
      <c r="O303" s="2628">
        <v>40</v>
      </c>
      <c r="P303" s="2628">
        <v>40</v>
      </c>
      <c r="Q303" s="2628">
        <v>40</v>
      </c>
      <c r="R303" s="2649" t="s">
        <v>226</v>
      </c>
      <c r="S303" s="2629" t="s">
        <v>226</v>
      </c>
      <c r="T303" s="2301">
        <v>240</v>
      </c>
      <c r="U303" s="2328">
        <v>200</v>
      </c>
      <c r="V303" s="2329">
        <v>160</v>
      </c>
      <c r="W303" s="2330">
        <v>160</v>
      </c>
      <c r="X303" s="2329">
        <v>160</v>
      </c>
      <c r="Y303" s="2331">
        <v>80</v>
      </c>
      <c r="Z303" s="2332" t="s">
        <v>226</v>
      </c>
      <c r="AA303" s="1108"/>
      <c r="AB303" s="1108"/>
      <c r="AC303" s="1108"/>
      <c r="AD303" s="1108"/>
      <c r="AE303" s="1108"/>
      <c r="AF303" s="1108"/>
      <c r="AG303" s="1108"/>
      <c r="AH303" s="1108"/>
      <c r="AI303" s="760"/>
      <c r="AJ303" s="760"/>
      <c r="BL303" s="1934"/>
      <c r="BO303" s="760"/>
    </row>
    <row r="304" spans="1:67" ht="21.75" customHeight="1">
      <c r="A304" s="760"/>
      <c r="B304" s="485"/>
      <c r="C304" s="1851" t="s">
        <v>1318</v>
      </c>
      <c r="D304" s="2017"/>
      <c r="E304" s="2326" t="s">
        <v>1194</v>
      </c>
      <c r="F304" s="1842">
        <v>55</v>
      </c>
      <c r="G304" s="2327" t="s">
        <v>1969</v>
      </c>
      <c r="H304" s="1842">
        <v>70</v>
      </c>
      <c r="I304" s="2327" t="s">
        <v>1035</v>
      </c>
      <c r="J304" s="1842">
        <v>90</v>
      </c>
      <c r="K304" s="2290"/>
      <c r="L304" s="2291"/>
      <c r="M304" s="2626">
        <v>55</v>
      </c>
      <c r="N304" s="2627">
        <v>45</v>
      </c>
      <c r="O304" s="2628">
        <v>20</v>
      </c>
      <c r="P304" s="2628">
        <v>20</v>
      </c>
      <c r="Q304" s="2628">
        <v>20</v>
      </c>
      <c r="R304" s="2649" t="s">
        <v>226</v>
      </c>
      <c r="S304" s="2629" t="s">
        <v>226</v>
      </c>
      <c r="T304" s="2301">
        <v>120</v>
      </c>
      <c r="U304" s="2328">
        <v>100</v>
      </c>
      <c r="V304" s="2329">
        <v>80</v>
      </c>
      <c r="W304" s="2330">
        <v>80</v>
      </c>
      <c r="X304" s="2329">
        <v>80</v>
      </c>
      <c r="Y304" s="2331">
        <v>40</v>
      </c>
      <c r="Z304" s="2332" t="s">
        <v>226</v>
      </c>
      <c r="AA304" s="1108"/>
      <c r="AB304" s="1108"/>
      <c r="AC304" s="1108"/>
      <c r="AD304" s="1108"/>
      <c r="AE304" s="1108"/>
      <c r="AF304" s="1108"/>
      <c r="AG304" s="1108"/>
      <c r="AH304" s="1108"/>
      <c r="AI304" s="760"/>
      <c r="AJ304" s="760"/>
      <c r="BL304" s="1934"/>
      <c r="BO304" s="760"/>
    </row>
    <row r="305" spans="1:67" ht="21.75" customHeight="1">
      <c r="A305" s="760"/>
      <c r="B305" s="485"/>
      <c r="C305" s="1851" t="s">
        <v>1319</v>
      </c>
      <c r="D305" s="2017"/>
      <c r="E305" s="2326" t="s">
        <v>1194</v>
      </c>
      <c r="F305" s="1842">
        <v>55</v>
      </c>
      <c r="G305" s="2327" t="s">
        <v>1969</v>
      </c>
      <c r="H305" s="1842">
        <v>70</v>
      </c>
      <c r="I305" s="2327" t="s">
        <v>1035</v>
      </c>
      <c r="J305" s="1842">
        <v>90</v>
      </c>
      <c r="K305" s="2290"/>
      <c r="L305" s="2291"/>
      <c r="M305" s="2626">
        <v>55</v>
      </c>
      <c r="N305" s="2627">
        <v>45</v>
      </c>
      <c r="O305" s="2628">
        <v>20</v>
      </c>
      <c r="P305" s="2628">
        <v>20</v>
      </c>
      <c r="Q305" s="2628">
        <v>20</v>
      </c>
      <c r="R305" s="2649" t="s">
        <v>226</v>
      </c>
      <c r="S305" s="2629" t="s">
        <v>226</v>
      </c>
      <c r="T305" s="2301">
        <v>120</v>
      </c>
      <c r="U305" s="2328">
        <v>100</v>
      </c>
      <c r="V305" s="2329">
        <v>80</v>
      </c>
      <c r="W305" s="2330">
        <v>80</v>
      </c>
      <c r="X305" s="2329">
        <v>80</v>
      </c>
      <c r="Y305" s="2331">
        <v>40</v>
      </c>
      <c r="Z305" s="2332" t="s">
        <v>226</v>
      </c>
      <c r="AA305" s="1108"/>
      <c r="AB305" s="1108"/>
      <c r="AC305" s="1108"/>
      <c r="AD305" s="1108"/>
      <c r="AE305" s="1108"/>
      <c r="AF305" s="1108"/>
      <c r="AG305" s="1108"/>
      <c r="AH305" s="1108"/>
      <c r="AI305" s="760"/>
      <c r="AJ305" s="760"/>
      <c r="BL305" s="1934"/>
      <c r="BO305" s="760"/>
    </row>
    <row r="306" spans="1:67" ht="21.75" customHeight="1">
      <c r="A306" s="760"/>
      <c r="B306" s="485"/>
      <c r="C306" s="1851" t="s">
        <v>1320</v>
      </c>
      <c r="D306" s="2017"/>
      <c r="E306" s="2326" t="s">
        <v>1194</v>
      </c>
      <c r="F306" s="1842">
        <v>55</v>
      </c>
      <c r="G306" s="2327" t="s">
        <v>1969</v>
      </c>
      <c r="H306" s="1842">
        <v>70</v>
      </c>
      <c r="I306" s="2327" t="s">
        <v>1035</v>
      </c>
      <c r="J306" s="1842">
        <v>90</v>
      </c>
      <c r="K306" s="2290"/>
      <c r="L306" s="2291"/>
      <c r="M306" s="2626">
        <v>105</v>
      </c>
      <c r="N306" s="2627">
        <v>90</v>
      </c>
      <c r="O306" s="2628">
        <v>40</v>
      </c>
      <c r="P306" s="2628">
        <v>40</v>
      </c>
      <c r="Q306" s="2628">
        <v>40</v>
      </c>
      <c r="R306" s="2649" t="s">
        <v>226</v>
      </c>
      <c r="S306" s="2629" t="s">
        <v>226</v>
      </c>
      <c r="T306" s="2301">
        <v>240</v>
      </c>
      <c r="U306" s="2328">
        <v>200</v>
      </c>
      <c r="V306" s="2329">
        <v>160</v>
      </c>
      <c r="W306" s="2330">
        <v>160</v>
      </c>
      <c r="X306" s="2329">
        <v>160</v>
      </c>
      <c r="Y306" s="2331">
        <v>80</v>
      </c>
      <c r="Z306" s="2332" t="s">
        <v>226</v>
      </c>
      <c r="AA306" s="1108"/>
      <c r="AB306" s="1108"/>
      <c r="AC306" s="1108"/>
      <c r="AD306" s="1108"/>
      <c r="AE306" s="1108"/>
      <c r="AF306" s="1108"/>
      <c r="AG306" s="1108"/>
      <c r="AH306" s="1108"/>
      <c r="AI306" s="760"/>
      <c r="AJ306" s="760"/>
      <c r="BL306" s="1934"/>
      <c r="BO306" s="760"/>
    </row>
    <row r="307" spans="1:67" ht="21.75" customHeight="1">
      <c r="A307" s="760"/>
      <c r="B307" s="485"/>
      <c r="C307" s="1851" t="s">
        <v>1321</v>
      </c>
      <c r="D307" s="2017"/>
      <c r="E307" s="2326" t="s">
        <v>1194</v>
      </c>
      <c r="F307" s="1842">
        <v>40</v>
      </c>
      <c r="G307" s="2327" t="s">
        <v>1969</v>
      </c>
      <c r="H307" s="1842">
        <v>50</v>
      </c>
      <c r="I307" s="2327" t="s">
        <v>1035</v>
      </c>
      <c r="J307" s="1842">
        <v>80</v>
      </c>
      <c r="K307" s="2290"/>
      <c r="L307" s="2291"/>
      <c r="M307" s="2626">
        <v>55</v>
      </c>
      <c r="N307" s="2627">
        <v>45</v>
      </c>
      <c r="O307" s="2628">
        <v>20</v>
      </c>
      <c r="P307" s="2628">
        <v>20</v>
      </c>
      <c r="Q307" s="2628">
        <v>20</v>
      </c>
      <c r="R307" s="2649" t="s">
        <v>226</v>
      </c>
      <c r="S307" s="2629" t="s">
        <v>226</v>
      </c>
      <c r="T307" s="2301">
        <v>120</v>
      </c>
      <c r="U307" s="2328">
        <v>100</v>
      </c>
      <c r="V307" s="2329">
        <v>80</v>
      </c>
      <c r="W307" s="2330">
        <v>80</v>
      </c>
      <c r="X307" s="2329">
        <v>80</v>
      </c>
      <c r="Y307" s="2331">
        <v>40</v>
      </c>
      <c r="Z307" s="2332" t="s">
        <v>226</v>
      </c>
      <c r="AA307" s="1108"/>
      <c r="AB307" s="1108"/>
      <c r="AC307" s="1108"/>
      <c r="AD307" s="1108"/>
      <c r="AE307" s="1108"/>
      <c r="AF307" s="1108"/>
      <c r="AG307" s="1108"/>
      <c r="AH307" s="1108"/>
      <c r="AI307" s="760"/>
      <c r="AJ307" s="760"/>
      <c r="BL307" s="1934"/>
      <c r="BO307" s="760"/>
    </row>
    <row r="308" spans="1:67" ht="21.75" customHeight="1">
      <c r="A308" s="760"/>
      <c r="B308" s="485"/>
      <c r="C308" s="1851" t="s">
        <v>1322</v>
      </c>
      <c r="D308" s="2017"/>
      <c r="E308" s="2326" t="s">
        <v>1194</v>
      </c>
      <c r="F308" s="1842">
        <v>40</v>
      </c>
      <c r="G308" s="2327" t="s">
        <v>1969</v>
      </c>
      <c r="H308" s="1842">
        <v>50</v>
      </c>
      <c r="I308" s="2327" t="s">
        <v>1035</v>
      </c>
      <c r="J308" s="1842">
        <v>80</v>
      </c>
      <c r="K308" s="2290"/>
      <c r="L308" s="2291"/>
      <c r="M308" s="2626">
        <v>55</v>
      </c>
      <c r="N308" s="2627">
        <v>45</v>
      </c>
      <c r="O308" s="2628">
        <v>20</v>
      </c>
      <c r="P308" s="2628">
        <v>20</v>
      </c>
      <c r="Q308" s="2628">
        <v>20</v>
      </c>
      <c r="R308" s="2649" t="s">
        <v>226</v>
      </c>
      <c r="S308" s="2629" t="s">
        <v>226</v>
      </c>
      <c r="T308" s="2301">
        <v>120</v>
      </c>
      <c r="U308" s="2328">
        <v>100</v>
      </c>
      <c r="V308" s="2329">
        <v>80</v>
      </c>
      <c r="W308" s="2330">
        <v>80</v>
      </c>
      <c r="X308" s="2329">
        <v>80</v>
      </c>
      <c r="Y308" s="2331">
        <v>40</v>
      </c>
      <c r="Z308" s="2332" t="s">
        <v>226</v>
      </c>
      <c r="AA308" s="1108"/>
      <c r="AB308" s="1108"/>
      <c r="AC308" s="1108"/>
      <c r="AD308" s="1108"/>
      <c r="AE308" s="1108"/>
      <c r="AF308" s="1108"/>
      <c r="AG308" s="1108"/>
      <c r="AH308" s="1108"/>
      <c r="AI308" s="760"/>
      <c r="AJ308" s="760"/>
      <c r="BL308" s="1934"/>
      <c r="BO308" s="760"/>
    </row>
    <row r="309" spans="1:67" ht="21.75" customHeight="1">
      <c r="A309" s="760"/>
      <c r="B309" s="485"/>
      <c r="C309" s="1851" t="s">
        <v>1323</v>
      </c>
      <c r="D309" s="2017"/>
      <c r="E309" s="2326" t="s">
        <v>1194</v>
      </c>
      <c r="F309" s="1842">
        <v>40</v>
      </c>
      <c r="G309" s="2327" t="s">
        <v>1969</v>
      </c>
      <c r="H309" s="1842">
        <v>50</v>
      </c>
      <c r="I309" s="2327" t="s">
        <v>1035</v>
      </c>
      <c r="J309" s="1842">
        <v>80</v>
      </c>
      <c r="K309" s="2290"/>
      <c r="L309" s="2291"/>
      <c r="M309" s="2626">
        <v>105</v>
      </c>
      <c r="N309" s="2627">
        <v>90</v>
      </c>
      <c r="O309" s="2628">
        <v>40</v>
      </c>
      <c r="P309" s="2628">
        <v>40</v>
      </c>
      <c r="Q309" s="2628">
        <v>40</v>
      </c>
      <c r="R309" s="2649" t="s">
        <v>226</v>
      </c>
      <c r="S309" s="2629" t="s">
        <v>226</v>
      </c>
      <c r="T309" s="2301">
        <v>240</v>
      </c>
      <c r="U309" s="2328">
        <v>200</v>
      </c>
      <c r="V309" s="2329">
        <v>160</v>
      </c>
      <c r="W309" s="2330">
        <v>160</v>
      </c>
      <c r="X309" s="2329">
        <v>160</v>
      </c>
      <c r="Y309" s="2331">
        <v>80</v>
      </c>
      <c r="Z309" s="2332" t="s">
        <v>226</v>
      </c>
      <c r="AA309" s="1108"/>
      <c r="AB309" s="1108"/>
      <c r="AC309" s="1108"/>
      <c r="AD309" s="1108"/>
      <c r="AE309" s="1108"/>
      <c r="AF309" s="1108"/>
      <c r="AG309" s="1108"/>
      <c r="AH309" s="1108"/>
      <c r="AI309" s="760"/>
      <c r="AJ309" s="760"/>
      <c r="BL309" s="1934"/>
      <c r="BO309" s="760"/>
    </row>
    <row r="310" spans="1:67" ht="21.75" customHeight="1" thickBot="1">
      <c r="A310" s="760"/>
      <c r="B310" s="485"/>
      <c r="C310" s="1851" t="s">
        <v>1324</v>
      </c>
      <c r="D310" s="2017"/>
      <c r="E310" s="2333" t="s">
        <v>226</v>
      </c>
      <c r="F310" s="2334">
        <v>0</v>
      </c>
      <c r="G310" s="2335" t="s">
        <v>226</v>
      </c>
      <c r="H310" s="2334">
        <v>0</v>
      </c>
      <c r="I310" s="2335" t="s">
        <v>226</v>
      </c>
      <c r="J310" s="2334">
        <v>0</v>
      </c>
      <c r="K310" s="2336"/>
      <c r="L310" s="2337"/>
      <c r="M310" s="2630">
        <v>0</v>
      </c>
      <c r="N310" s="2631">
        <v>0</v>
      </c>
      <c r="O310" s="2632">
        <v>0</v>
      </c>
      <c r="P310" s="2632">
        <v>0</v>
      </c>
      <c r="Q310" s="2632">
        <v>0</v>
      </c>
      <c r="R310" s="2650" t="s">
        <v>226</v>
      </c>
      <c r="S310" s="2651" t="s">
        <v>226</v>
      </c>
      <c r="T310" s="2314">
        <v>0</v>
      </c>
      <c r="U310" s="2338">
        <v>0</v>
      </c>
      <c r="V310" s="2339">
        <v>0</v>
      </c>
      <c r="W310" s="2340">
        <v>0</v>
      </c>
      <c r="X310" s="2339">
        <v>0</v>
      </c>
      <c r="Y310" s="2314" t="s">
        <v>226</v>
      </c>
      <c r="Z310" s="2315" t="s">
        <v>226</v>
      </c>
      <c r="AA310" s="1108"/>
      <c r="AB310" s="1108"/>
      <c r="AC310" s="1108"/>
      <c r="AD310" s="1108"/>
      <c r="AE310" s="1108"/>
      <c r="AF310" s="1108"/>
      <c r="AG310" s="1108"/>
      <c r="AH310" s="1108"/>
      <c r="AI310" s="760"/>
      <c r="AJ310" s="760"/>
      <c r="BL310" s="1934"/>
      <c r="BO310" s="760"/>
    </row>
    <row r="311" spans="1:67" ht="13.5" thickBot="1">
      <c r="A311" s="760"/>
      <c r="B311" s="485"/>
      <c r="C311" s="1108"/>
      <c r="D311" s="1108"/>
      <c r="E311" s="1108"/>
      <c r="F311" s="1108"/>
      <c r="G311" s="1108"/>
      <c r="H311" s="1108"/>
      <c r="I311" s="1108"/>
      <c r="J311" s="1108"/>
      <c r="K311" s="1108"/>
      <c r="L311" s="1108"/>
      <c r="M311" s="1108"/>
      <c r="N311" s="1108"/>
      <c r="O311" s="1108"/>
      <c r="P311" s="1108"/>
      <c r="Q311" s="1108"/>
      <c r="R311" s="1108"/>
      <c r="S311" s="1108"/>
      <c r="T311" s="1108"/>
      <c r="U311" s="1108"/>
      <c r="V311" s="1108"/>
      <c r="W311" s="1108"/>
      <c r="X311" s="1108"/>
      <c r="Y311" s="1108"/>
      <c r="Z311" s="1108"/>
      <c r="AA311" s="1108"/>
      <c r="AB311" s="1108"/>
      <c r="AC311" s="1108"/>
      <c r="AD311" s="1108"/>
      <c r="AE311" s="1108"/>
      <c r="AF311" s="1108"/>
      <c r="AG311" s="1108"/>
      <c r="AH311" s="1108"/>
      <c r="AI311" s="760"/>
      <c r="AJ311" s="760"/>
      <c r="BL311" s="1934"/>
      <c r="BO311" s="760"/>
    </row>
    <row r="312" spans="1:67" ht="21.75" customHeight="1" thickBot="1">
      <c r="A312" s="760"/>
      <c r="B312" s="485"/>
      <c r="C312" s="1849" t="s">
        <v>1970</v>
      </c>
      <c r="D312" s="2021"/>
      <c r="E312" s="2869" t="s">
        <v>910</v>
      </c>
      <c r="F312" s="2870"/>
      <c r="G312" s="2871" t="s">
        <v>120</v>
      </c>
      <c r="H312" s="2871"/>
      <c r="I312" s="2872" t="s">
        <v>983</v>
      </c>
      <c r="J312" s="2872"/>
      <c r="K312" s="2221" t="s">
        <v>120</v>
      </c>
      <c r="L312" s="2222" t="s">
        <v>983</v>
      </c>
      <c r="M312" s="2685" t="s">
        <v>990</v>
      </c>
      <c r="N312" s="2685" t="s">
        <v>991</v>
      </c>
      <c r="O312" s="2617" t="s">
        <v>910</v>
      </c>
      <c r="P312" s="2618" t="s">
        <v>120</v>
      </c>
      <c r="Q312" s="2619" t="s">
        <v>983</v>
      </c>
      <c r="R312" s="2686" t="s">
        <v>993</v>
      </c>
      <c r="S312" s="2687" t="s">
        <v>994</v>
      </c>
      <c r="T312" s="1943" t="s">
        <v>990</v>
      </c>
      <c r="U312" s="1944" t="s">
        <v>991</v>
      </c>
      <c r="V312" s="1945" t="s">
        <v>910</v>
      </c>
      <c r="W312" s="1946" t="s">
        <v>120</v>
      </c>
      <c r="X312" s="1947" t="s">
        <v>983</v>
      </c>
      <c r="Y312" s="1948" t="s">
        <v>993</v>
      </c>
      <c r="Z312" s="1949" t="s">
        <v>994</v>
      </c>
      <c r="AA312" s="1108"/>
      <c r="AB312" s="1108"/>
      <c r="AC312" s="1108"/>
      <c r="AD312" s="1108"/>
      <c r="AE312" s="1108"/>
      <c r="AF312" s="1108"/>
      <c r="AG312" s="1108"/>
      <c r="AH312" s="1108"/>
      <c r="AI312" s="760"/>
      <c r="AJ312" s="760"/>
      <c r="BL312" s="1934"/>
      <c r="BO312" s="760"/>
    </row>
    <row r="313" spans="1:67" ht="21.75" customHeight="1">
      <c r="A313" s="760"/>
      <c r="B313" s="485"/>
      <c r="C313" s="1850" t="s">
        <v>1325</v>
      </c>
      <c r="D313" s="2016"/>
      <c r="E313" s="2280" t="s">
        <v>226</v>
      </c>
      <c r="F313" s="1841">
        <v>80</v>
      </c>
      <c r="G313" s="2281" t="s">
        <v>226</v>
      </c>
      <c r="H313" s="1841">
        <v>80</v>
      </c>
      <c r="I313" s="2281" t="s">
        <v>226</v>
      </c>
      <c r="J313" s="1841">
        <v>80</v>
      </c>
      <c r="K313" s="2282">
        <v>70</v>
      </c>
      <c r="L313" s="2283">
        <v>70</v>
      </c>
      <c r="M313" s="2622">
        <v>105</v>
      </c>
      <c r="N313" s="2623">
        <v>90</v>
      </c>
      <c r="O313" s="2624">
        <v>70</v>
      </c>
      <c r="P313" s="2624">
        <v>70</v>
      </c>
      <c r="Q313" s="2624">
        <v>70</v>
      </c>
      <c r="R313" s="2652" t="s">
        <v>1007</v>
      </c>
      <c r="S313" s="2653" t="s">
        <v>1008</v>
      </c>
      <c r="T313" s="2284">
        <v>75</v>
      </c>
      <c r="U313" s="2285"/>
      <c r="V313" s="2286"/>
      <c r="W313" s="2287"/>
      <c r="X313" s="2286"/>
      <c r="Y313" s="2288"/>
      <c r="Z313" s="2285"/>
      <c r="AA313" s="1108"/>
      <c r="AB313" s="1108"/>
      <c r="AC313" s="1108"/>
      <c r="AD313" s="1108"/>
      <c r="AE313" s="1108"/>
      <c r="AF313" s="1108"/>
      <c r="AG313" s="1108"/>
      <c r="AH313" s="1108"/>
      <c r="AI313" s="760"/>
      <c r="AJ313" s="760"/>
      <c r="BL313" s="1934"/>
      <c r="BO313" s="760"/>
    </row>
    <row r="314" spans="1:67" ht="21.75" customHeight="1">
      <c r="A314" s="760"/>
      <c r="B314" s="485"/>
      <c r="C314" s="1851" t="s">
        <v>1326</v>
      </c>
      <c r="D314" s="2017"/>
      <c r="E314" s="2289" t="s">
        <v>226</v>
      </c>
      <c r="F314" s="1842">
        <v>140</v>
      </c>
      <c r="G314" s="1843" t="s">
        <v>226</v>
      </c>
      <c r="H314" s="1842">
        <v>140</v>
      </c>
      <c r="I314" s="1843" t="s">
        <v>226</v>
      </c>
      <c r="J314" s="1842">
        <v>140</v>
      </c>
      <c r="K314" s="2290">
        <v>130</v>
      </c>
      <c r="L314" s="2291">
        <v>130</v>
      </c>
      <c r="M314" s="2626">
        <v>90</v>
      </c>
      <c r="N314" s="2627">
        <v>75</v>
      </c>
      <c r="O314" s="2628">
        <v>60</v>
      </c>
      <c r="P314" s="2628">
        <v>60</v>
      </c>
      <c r="Q314" s="2628">
        <v>60</v>
      </c>
      <c r="R314" s="2654" t="s">
        <v>1007</v>
      </c>
      <c r="S314" s="2655" t="s">
        <v>1008</v>
      </c>
      <c r="T314" s="2292" t="s">
        <v>1086</v>
      </c>
      <c r="U314" s="2293"/>
      <c r="V314" s="2294"/>
      <c r="W314" s="2295"/>
      <c r="X314" s="2294"/>
      <c r="Y314" s="2296"/>
      <c r="Z314" s="2293"/>
      <c r="AA314" s="1108"/>
      <c r="AB314" s="1108"/>
      <c r="AC314" s="1108"/>
      <c r="AD314" s="1108"/>
      <c r="AE314" s="1108"/>
      <c r="AF314" s="1108"/>
      <c r="AG314" s="1108"/>
      <c r="AH314" s="1108"/>
      <c r="AI314" s="760"/>
      <c r="AJ314" s="760"/>
      <c r="BL314" s="1934"/>
      <c r="BO314" s="760"/>
    </row>
    <row r="315" spans="1:67" ht="21.75" customHeight="1">
      <c r="A315" s="760"/>
      <c r="B315" s="485"/>
      <c r="C315" s="1851" t="s">
        <v>1327</v>
      </c>
      <c r="D315" s="2017"/>
      <c r="E315" s="2289" t="s">
        <v>226</v>
      </c>
      <c r="F315" s="1842">
        <v>70</v>
      </c>
      <c r="G315" s="1843" t="s">
        <v>226</v>
      </c>
      <c r="H315" s="1842">
        <v>70</v>
      </c>
      <c r="I315" s="1843" t="s">
        <v>226</v>
      </c>
      <c r="J315" s="1842">
        <v>70</v>
      </c>
      <c r="K315" s="2290">
        <v>50</v>
      </c>
      <c r="L315" s="2291">
        <v>50</v>
      </c>
      <c r="M315" s="2626">
        <v>135</v>
      </c>
      <c r="N315" s="2627">
        <v>115</v>
      </c>
      <c r="O315" s="2628">
        <v>90</v>
      </c>
      <c r="P315" s="2628">
        <v>90</v>
      </c>
      <c r="Q315" s="2628">
        <v>90</v>
      </c>
      <c r="R315" s="2654" t="s">
        <v>1007</v>
      </c>
      <c r="S315" s="2655" t="s">
        <v>1008</v>
      </c>
      <c r="T315" s="2292" t="s">
        <v>1086</v>
      </c>
      <c r="U315" s="2293"/>
      <c r="V315" s="2294"/>
      <c r="W315" s="2295"/>
      <c r="X315" s="2294"/>
      <c r="Y315" s="2296"/>
      <c r="Z315" s="2293"/>
      <c r="AA315" s="1108"/>
      <c r="AB315" s="1108"/>
      <c r="AC315" s="1108"/>
      <c r="AD315" s="1108"/>
      <c r="AE315" s="1108"/>
      <c r="AF315" s="1108"/>
      <c r="AG315" s="1108"/>
      <c r="AH315" s="1108"/>
      <c r="AI315" s="760"/>
      <c r="AJ315" s="760"/>
      <c r="BL315" s="1934"/>
      <c r="BO315" s="760"/>
    </row>
    <row r="316" spans="1:67" ht="21.75" customHeight="1">
      <c r="A316" s="760"/>
      <c r="B316" s="485"/>
      <c r="C316" s="1851" t="s">
        <v>1328</v>
      </c>
      <c r="D316" s="2017"/>
      <c r="E316" s="2289" t="s">
        <v>226</v>
      </c>
      <c r="F316" s="1842">
        <v>0</v>
      </c>
      <c r="G316" s="1843" t="s">
        <v>226</v>
      </c>
      <c r="H316" s="1842">
        <v>0</v>
      </c>
      <c r="I316" s="1843" t="s">
        <v>226</v>
      </c>
      <c r="J316" s="1842">
        <v>0</v>
      </c>
      <c r="K316" s="2290">
        <v>0</v>
      </c>
      <c r="L316" s="2291">
        <v>0</v>
      </c>
      <c r="M316" s="2626">
        <v>0</v>
      </c>
      <c r="N316" s="2627">
        <v>0</v>
      </c>
      <c r="O316" s="2628">
        <v>0</v>
      </c>
      <c r="P316" s="2628">
        <v>0</v>
      </c>
      <c r="Q316" s="2628">
        <v>0</v>
      </c>
      <c r="R316" s="2654" t="s">
        <v>1260</v>
      </c>
      <c r="S316" s="2655" t="s">
        <v>1260</v>
      </c>
      <c r="T316" s="2292" t="s">
        <v>1086</v>
      </c>
      <c r="U316" s="2293"/>
      <c r="V316" s="2294"/>
      <c r="W316" s="2295"/>
      <c r="X316" s="2294"/>
      <c r="Y316" s="2296"/>
      <c r="Z316" s="2293"/>
      <c r="AA316" s="1108"/>
      <c r="AB316" s="1108"/>
      <c r="AC316" s="1108"/>
      <c r="AD316" s="1108"/>
      <c r="AE316" s="1108"/>
      <c r="AF316" s="1108"/>
      <c r="AG316" s="1108"/>
      <c r="AH316" s="1108"/>
      <c r="AI316" s="760"/>
      <c r="AJ316" s="760"/>
      <c r="BL316" s="1934"/>
      <c r="BO316" s="760"/>
    </row>
    <row r="317" spans="1:67" ht="21.75" customHeight="1">
      <c r="A317" s="760"/>
      <c r="B317" s="485"/>
      <c r="C317" s="1851" t="s">
        <v>1329</v>
      </c>
      <c r="D317" s="2017"/>
      <c r="E317" s="2289" t="s">
        <v>226</v>
      </c>
      <c r="F317" s="1842">
        <v>140</v>
      </c>
      <c r="G317" s="1843" t="s">
        <v>226</v>
      </c>
      <c r="H317" s="1842">
        <v>140</v>
      </c>
      <c r="I317" s="1843" t="s">
        <v>226</v>
      </c>
      <c r="J317" s="1842">
        <v>140</v>
      </c>
      <c r="K317" s="2290">
        <v>70</v>
      </c>
      <c r="L317" s="2291">
        <v>70</v>
      </c>
      <c r="M317" s="2626">
        <v>105</v>
      </c>
      <c r="N317" s="2627">
        <v>90</v>
      </c>
      <c r="O317" s="2628">
        <v>70</v>
      </c>
      <c r="P317" s="2628">
        <v>70</v>
      </c>
      <c r="Q317" s="2628">
        <v>70</v>
      </c>
      <c r="R317" s="2654" t="s">
        <v>1007</v>
      </c>
      <c r="S317" s="2655" t="s">
        <v>1008</v>
      </c>
      <c r="T317" s="2292" t="s">
        <v>1086</v>
      </c>
      <c r="U317" s="2293"/>
      <c r="V317" s="2294"/>
      <c r="W317" s="2295"/>
      <c r="X317" s="2294"/>
      <c r="Y317" s="2296"/>
      <c r="Z317" s="2293"/>
      <c r="AA317" s="1108"/>
      <c r="AB317" s="1108"/>
      <c r="AC317" s="1108"/>
      <c r="AD317" s="1108"/>
      <c r="AE317" s="1108"/>
      <c r="AF317" s="1108"/>
      <c r="AG317" s="1108"/>
      <c r="AH317" s="1108"/>
      <c r="AI317" s="760"/>
      <c r="AJ317" s="760"/>
      <c r="BL317" s="1934"/>
      <c r="BO317" s="760"/>
    </row>
    <row r="318" spans="1:67" ht="21.75" customHeight="1">
      <c r="A318" s="760"/>
      <c r="B318" s="485"/>
      <c r="C318" s="1851" t="s">
        <v>1330</v>
      </c>
      <c r="D318" s="2017"/>
      <c r="E318" s="2289" t="s">
        <v>226</v>
      </c>
      <c r="F318" s="1842">
        <v>150</v>
      </c>
      <c r="G318" s="1843" t="s">
        <v>226</v>
      </c>
      <c r="H318" s="1842">
        <v>150</v>
      </c>
      <c r="I318" s="1843" t="s">
        <v>226</v>
      </c>
      <c r="J318" s="1842">
        <v>150</v>
      </c>
      <c r="K318" s="2290">
        <v>140</v>
      </c>
      <c r="L318" s="2291">
        <v>140</v>
      </c>
      <c r="M318" s="2626">
        <v>75</v>
      </c>
      <c r="N318" s="2627">
        <v>65</v>
      </c>
      <c r="O318" s="2628">
        <v>50</v>
      </c>
      <c r="P318" s="2628">
        <v>50</v>
      </c>
      <c r="Q318" s="2628">
        <v>50</v>
      </c>
      <c r="R318" s="2654" t="s">
        <v>1007</v>
      </c>
      <c r="S318" s="2655" t="s">
        <v>1008</v>
      </c>
      <c r="T318" s="2292" t="s">
        <v>1086</v>
      </c>
      <c r="U318" s="2293"/>
      <c r="V318" s="2294"/>
      <c r="W318" s="2295"/>
      <c r="X318" s="2294"/>
      <c r="Y318" s="2296"/>
      <c r="Z318" s="2293"/>
      <c r="AA318" s="1108"/>
      <c r="AB318" s="1108"/>
      <c r="AC318" s="1108"/>
      <c r="AD318" s="1108"/>
      <c r="AE318" s="1108"/>
      <c r="AF318" s="1108"/>
      <c r="AG318" s="1108"/>
      <c r="AH318" s="1108"/>
      <c r="AI318" s="760"/>
      <c r="AJ318" s="760"/>
      <c r="BL318" s="1934"/>
      <c r="BO318" s="760"/>
    </row>
    <row r="319" spans="1:67" ht="21.75" customHeight="1">
      <c r="A319" s="760"/>
      <c r="B319" s="485"/>
      <c r="C319" s="1851" t="s">
        <v>1331</v>
      </c>
      <c r="D319" s="2017"/>
      <c r="E319" s="2289" t="s">
        <v>226</v>
      </c>
      <c r="F319" s="1842">
        <v>100</v>
      </c>
      <c r="G319" s="1843" t="s">
        <v>226</v>
      </c>
      <c r="H319" s="1842">
        <v>100</v>
      </c>
      <c r="I319" s="1843" t="s">
        <v>226</v>
      </c>
      <c r="J319" s="1842">
        <v>100</v>
      </c>
      <c r="K319" s="2290">
        <v>90</v>
      </c>
      <c r="L319" s="2291">
        <v>90</v>
      </c>
      <c r="M319" s="2626">
        <v>90</v>
      </c>
      <c r="N319" s="2627">
        <v>75</v>
      </c>
      <c r="O319" s="2628">
        <v>60</v>
      </c>
      <c r="P319" s="2628">
        <v>60</v>
      </c>
      <c r="Q319" s="2628">
        <v>60</v>
      </c>
      <c r="R319" s="2654" t="s">
        <v>1007</v>
      </c>
      <c r="S319" s="2655" t="s">
        <v>1008</v>
      </c>
      <c r="T319" s="2292" t="s">
        <v>1086</v>
      </c>
      <c r="U319" s="2293"/>
      <c r="V319" s="2294"/>
      <c r="W319" s="2295"/>
      <c r="X319" s="2294"/>
      <c r="Y319" s="2296"/>
      <c r="Z319" s="2293"/>
      <c r="AA319" s="1108"/>
      <c r="AB319" s="1108"/>
      <c r="AC319" s="1108"/>
      <c r="AD319" s="1108"/>
      <c r="AE319" s="1108"/>
      <c r="AF319" s="1108"/>
      <c r="AG319" s="1108"/>
      <c r="AH319" s="1108"/>
      <c r="AI319" s="760"/>
      <c r="AJ319" s="760"/>
      <c r="BL319" s="1934"/>
      <c r="BO319" s="760"/>
    </row>
    <row r="320" spans="1:67" ht="21.75" customHeight="1">
      <c r="A320" s="760"/>
      <c r="B320" s="485"/>
      <c r="C320" s="1851" t="s">
        <v>1332</v>
      </c>
      <c r="D320" s="2017"/>
      <c r="E320" s="2289" t="s">
        <v>226</v>
      </c>
      <c r="F320" s="1842">
        <v>150</v>
      </c>
      <c r="G320" s="1843" t="s">
        <v>226</v>
      </c>
      <c r="H320" s="1842">
        <v>150</v>
      </c>
      <c r="I320" s="1843" t="s">
        <v>226</v>
      </c>
      <c r="J320" s="1842">
        <v>150</v>
      </c>
      <c r="K320" s="2290">
        <v>120</v>
      </c>
      <c r="L320" s="2291">
        <v>120</v>
      </c>
      <c r="M320" s="2626">
        <v>90</v>
      </c>
      <c r="N320" s="2627">
        <v>75</v>
      </c>
      <c r="O320" s="2628">
        <v>60</v>
      </c>
      <c r="P320" s="2628">
        <v>60</v>
      </c>
      <c r="Q320" s="2628">
        <v>60</v>
      </c>
      <c r="R320" s="2654" t="s">
        <v>1007</v>
      </c>
      <c r="S320" s="2655" t="s">
        <v>1008</v>
      </c>
      <c r="T320" s="2292" t="s">
        <v>1086</v>
      </c>
      <c r="U320" s="2293"/>
      <c r="V320" s="2294"/>
      <c r="W320" s="2295"/>
      <c r="X320" s="2294"/>
      <c r="Y320" s="2296"/>
      <c r="Z320" s="2293"/>
      <c r="AA320" s="1108"/>
      <c r="AB320" s="1108"/>
      <c r="AC320" s="1108"/>
      <c r="AD320" s="1108"/>
      <c r="AE320" s="1108"/>
      <c r="AF320" s="1108"/>
      <c r="AG320" s="1108"/>
      <c r="AH320" s="1108"/>
      <c r="AI320" s="760"/>
      <c r="AJ320" s="760"/>
      <c r="BL320" s="1934"/>
      <c r="BO320" s="760"/>
    </row>
    <row r="321" spans="1:67" ht="21.75" customHeight="1">
      <c r="A321" s="760"/>
      <c r="B321" s="485"/>
      <c r="C321" s="1851" t="s">
        <v>1333</v>
      </c>
      <c r="D321" s="2017"/>
      <c r="E321" s="2289" t="s">
        <v>226</v>
      </c>
      <c r="F321" s="1842">
        <v>0</v>
      </c>
      <c r="G321" s="1843" t="s">
        <v>226</v>
      </c>
      <c r="H321" s="1842">
        <v>0</v>
      </c>
      <c r="I321" s="1843" t="s">
        <v>226</v>
      </c>
      <c r="J321" s="1842">
        <v>0</v>
      </c>
      <c r="K321" s="2290">
        <v>0</v>
      </c>
      <c r="L321" s="2291">
        <v>0</v>
      </c>
      <c r="M321" s="2626">
        <v>90</v>
      </c>
      <c r="N321" s="2627">
        <v>75</v>
      </c>
      <c r="O321" s="2628">
        <v>60</v>
      </c>
      <c r="P321" s="2628">
        <v>60</v>
      </c>
      <c r="Q321" s="2628">
        <v>60</v>
      </c>
      <c r="R321" s="2654" t="s">
        <v>1007</v>
      </c>
      <c r="S321" s="2655" t="s">
        <v>1008</v>
      </c>
      <c r="T321" s="2292" t="s">
        <v>1086</v>
      </c>
      <c r="U321" s="2293"/>
      <c r="V321" s="2294"/>
      <c r="W321" s="2295"/>
      <c r="X321" s="2294"/>
      <c r="Y321" s="2296"/>
      <c r="Z321" s="2293"/>
      <c r="AA321" s="1108"/>
      <c r="AB321" s="1108"/>
      <c r="AC321" s="1108"/>
      <c r="AD321" s="1108"/>
      <c r="AE321" s="1108"/>
      <c r="AF321" s="1108"/>
      <c r="AG321" s="1108"/>
      <c r="AH321" s="1108"/>
      <c r="AI321" s="760"/>
      <c r="AJ321" s="760"/>
      <c r="BL321" s="1934"/>
      <c r="BO321" s="760"/>
    </row>
    <row r="322" spans="1:67" ht="21.75" customHeight="1">
      <c r="A322" s="760"/>
      <c r="B322" s="485"/>
      <c r="C322" s="1851" t="s">
        <v>1334</v>
      </c>
      <c r="D322" s="2017"/>
      <c r="E322" s="2289" t="s">
        <v>226</v>
      </c>
      <c r="F322" s="1842">
        <v>80</v>
      </c>
      <c r="G322" s="1843" t="s">
        <v>226</v>
      </c>
      <c r="H322" s="1842">
        <v>80</v>
      </c>
      <c r="I322" s="1843" t="s">
        <v>226</v>
      </c>
      <c r="J322" s="1842">
        <v>80</v>
      </c>
      <c r="K322" s="2290">
        <v>70</v>
      </c>
      <c r="L322" s="2291">
        <v>70</v>
      </c>
      <c r="M322" s="2626">
        <v>90</v>
      </c>
      <c r="N322" s="2627">
        <v>75</v>
      </c>
      <c r="O322" s="2628">
        <v>60</v>
      </c>
      <c r="P322" s="2628">
        <v>60</v>
      </c>
      <c r="Q322" s="2628">
        <v>60</v>
      </c>
      <c r="R322" s="2654" t="s">
        <v>1007</v>
      </c>
      <c r="S322" s="2655" t="s">
        <v>1008</v>
      </c>
      <c r="T322" s="2292" t="s">
        <v>1086</v>
      </c>
      <c r="U322" s="2293"/>
      <c r="V322" s="2294"/>
      <c r="W322" s="2295"/>
      <c r="X322" s="2294"/>
      <c r="Y322" s="2296"/>
      <c r="Z322" s="2293"/>
      <c r="AA322" s="1108"/>
      <c r="AB322" s="1108"/>
      <c r="AC322" s="1108"/>
      <c r="AD322" s="1108"/>
      <c r="AE322" s="1108"/>
      <c r="AF322" s="1108"/>
      <c r="AG322" s="1108"/>
      <c r="AH322" s="1108"/>
      <c r="AI322" s="760"/>
      <c r="AJ322" s="760"/>
      <c r="BL322" s="1934"/>
      <c r="BO322" s="760"/>
    </row>
    <row r="323" spans="1:67" ht="21.75" customHeight="1">
      <c r="A323" s="760"/>
      <c r="B323" s="485"/>
      <c r="C323" s="1851" t="s">
        <v>1335</v>
      </c>
      <c r="D323" s="2017"/>
      <c r="E323" s="2289" t="s">
        <v>226</v>
      </c>
      <c r="F323" s="1842">
        <v>120</v>
      </c>
      <c r="G323" s="1843" t="s">
        <v>226</v>
      </c>
      <c r="H323" s="1842">
        <v>120</v>
      </c>
      <c r="I323" s="1843" t="s">
        <v>226</v>
      </c>
      <c r="J323" s="1842">
        <v>120</v>
      </c>
      <c r="K323" s="2290">
        <v>110</v>
      </c>
      <c r="L323" s="2291">
        <v>110</v>
      </c>
      <c r="M323" s="2626">
        <v>60</v>
      </c>
      <c r="N323" s="2627">
        <v>50</v>
      </c>
      <c r="O323" s="2628">
        <v>40</v>
      </c>
      <c r="P323" s="2628">
        <v>40</v>
      </c>
      <c r="Q323" s="2628">
        <v>40</v>
      </c>
      <c r="R323" s="2654" t="s">
        <v>1007</v>
      </c>
      <c r="S323" s="2655" t="s">
        <v>1008</v>
      </c>
      <c r="T323" s="2292" t="s">
        <v>1086</v>
      </c>
      <c r="U323" s="2293"/>
      <c r="V323" s="2294"/>
      <c r="W323" s="2295"/>
      <c r="X323" s="2294"/>
      <c r="Y323" s="2296"/>
      <c r="Z323" s="2293"/>
      <c r="AA323" s="1108"/>
      <c r="AB323" s="1108"/>
      <c r="AC323" s="1108"/>
      <c r="AD323" s="1108"/>
      <c r="AE323" s="1108"/>
      <c r="AF323" s="1108"/>
      <c r="AG323" s="1108"/>
      <c r="AH323" s="1108"/>
      <c r="AI323" s="760"/>
      <c r="AJ323" s="760"/>
      <c r="BL323" s="1934"/>
      <c r="BO323" s="760"/>
    </row>
    <row r="324" spans="1:67" ht="21.75" customHeight="1">
      <c r="A324" s="760"/>
      <c r="B324" s="485"/>
      <c r="C324" s="1851" t="s">
        <v>1336</v>
      </c>
      <c r="D324" s="2017"/>
      <c r="E324" s="2289" t="s">
        <v>226</v>
      </c>
      <c r="F324" s="1842">
        <v>200</v>
      </c>
      <c r="G324" s="1843" t="s">
        <v>226</v>
      </c>
      <c r="H324" s="1842">
        <v>200</v>
      </c>
      <c r="I324" s="1843" t="s">
        <v>226</v>
      </c>
      <c r="J324" s="1842">
        <v>200</v>
      </c>
      <c r="K324" s="2290">
        <v>150</v>
      </c>
      <c r="L324" s="2291">
        <v>150</v>
      </c>
      <c r="M324" s="2626">
        <v>90</v>
      </c>
      <c r="N324" s="2627">
        <v>75</v>
      </c>
      <c r="O324" s="2628">
        <v>60</v>
      </c>
      <c r="P324" s="2628">
        <v>60</v>
      </c>
      <c r="Q324" s="2628">
        <v>60</v>
      </c>
      <c r="R324" s="2654" t="s">
        <v>1007</v>
      </c>
      <c r="S324" s="2655" t="s">
        <v>1008</v>
      </c>
      <c r="T324" s="2292" t="s">
        <v>1086</v>
      </c>
      <c r="U324" s="2293"/>
      <c r="V324" s="2294"/>
      <c r="W324" s="2295"/>
      <c r="X324" s="2294"/>
      <c r="Y324" s="2296"/>
      <c r="Z324" s="2293"/>
      <c r="AA324" s="1108"/>
      <c r="AB324" s="1108"/>
      <c r="AC324" s="1108"/>
      <c r="AD324" s="1108"/>
      <c r="AE324" s="1108"/>
      <c r="AF324" s="1108"/>
      <c r="AG324" s="1108"/>
      <c r="AH324" s="1108"/>
      <c r="AI324" s="760"/>
      <c r="AJ324" s="760"/>
      <c r="BL324" s="1934"/>
      <c r="BO324" s="760"/>
    </row>
    <row r="325" spans="1:67" ht="21.75" customHeight="1">
      <c r="A325" s="760"/>
      <c r="B325" s="485"/>
      <c r="C325" s="1851" t="s">
        <v>1337</v>
      </c>
      <c r="D325" s="2017"/>
      <c r="E325" s="2289" t="s">
        <v>226</v>
      </c>
      <c r="F325" s="1842">
        <v>140</v>
      </c>
      <c r="G325" s="1843" t="s">
        <v>226</v>
      </c>
      <c r="H325" s="1842">
        <v>140</v>
      </c>
      <c r="I325" s="1843" t="s">
        <v>226</v>
      </c>
      <c r="J325" s="1842">
        <v>140</v>
      </c>
      <c r="K325" s="2290">
        <v>130</v>
      </c>
      <c r="L325" s="2291">
        <v>130</v>
      </c>
      <c r="M325" s="2626">
        <v>120</v>
      </c>
      <c r="N325" s="2627">
        <v>100</v>
      </c>
      <c r="O325" s="2628">
        <v>80</v>
      </c>
      <c r="P325" s="2628">
        <v>80</v>
      </c>
      <c r="Q325" s="2628">
        <v>80</v>
      </c>
      <c r="R325" s="2654" t="s">
        <v>1007</v>
      </c>
      <c r="S325" s="2655" t="s">
        <v>1008</v>
      </c>
      <c r="T325" s="2292" t="s">
        <v>1086</v>
      </c>
      <c r="U325" s="2293"/>
      <c r="V325" s="2294"/>
      <c r="W325" s="2295"/>
      <c r="X325" s="2294"/>
      <c r="Y325" s="2296"/>
      <c r="Z325" s="2293"/>
      <c r="AA325" s="1108"/>
      <c r="AB325" s="1108"/>
      <c r="AC325" s="1108"/>
      <c r="AD325" s="1108"/>
      <c r="AE325" s="1108"/>
      <c r="AF325" s="1108"/>
      <c r="AG325" s="1108"/>
      <c r="AH325" s="1108"/>
      <c r="AI325" s="760"/>
      <c r="AJ325" s="760"/>
      <c r="BL325" s="1934"/>
      <c r="BO325" s="760"/>
    </row>
    <row r="326" spans="1:67" ht="21.75" customHeight="1">
      <c r="A326" s="760"/>
      <c r="B326" s="485"/>
      <c r="C326" s="1851" t="s">
        <v>1338</v>
      </c>
      <c r="D326" s="2017"/>
      <c r="E326" s="2289" t="s">
        <v>226</v>
      </c>
      <c r="F326" s="1842">
        <v>130</v>
      </c>
      <c r="G326" s="1843" t="s">
        <v>226</v>
      </c>
      <c r="H326" s="1842">
        <v>130</v>
      </c>
      <c r="I326" s="1843" t="s">
        <v>226</v>
      </c>
      <c r="J326" s="1842">
        <v>130</v>
      </c>
      <c r="K326" s="2290">
        <v>100</v>
      </c>
      <c r="L326" s="2291">
        <v>100</v>
      </c>
      <c r="M326" s="2626">
        <v>105</v>
      </c>
      <c r="N326" s="2627">
        <v>90</v>
      </c>
      <c r="O326" s="2628">
        <v>70</v>
      </c>
      <c r="P326" s="2628">
        <v>70</v>
      </c>
      <c r="Q326" s="2628">
        <v>70</v>
      </c>
      <c r="R326" s="2654" t="s">
        <v>1007</v>
      </c>
      <c r="S326" s="2655" t="s">
        <v>1008</v>
      </c>
      <c r="T326" s="2292" t="s">
        <v>1086</v>
      </c>
      <c r="U326" s="2293"/>
      <c r="V326" s="2294"/>
      <c r="W326" s="2295"/>
      <c r="X326" s="2294"/>
      <c r="Y326" s="2296"/>
      <c r="Z326" s="2293"/>
      <c r="AA326" s="1108"/>
      <c r="AB326" s="1108"/>
      <c r="AC326" s="1108"/>
      <c r="AD326" s="1108"/>
      <c r="AE326" s="1108"/>
      <c r="AF326" s="1108"/>
      <c r="AG326" s="1108"/>
      <c r="AH326" s="1108"/>
      <c r="AI326" s="760"/>
      <c r="AJ326" s="760"/>
      <c r="BL326" s="1934"/>
      <c r="BO326" s="760"/>
    </row>
    <row r="327" spans="1:67" ht="21.75" customHeight="1">
      <c r="A327" s="760"/>
      <c r="B327" s="485"/>
      <c r="C327" s="1851" t="s">
        <v>1339</v>
      </c>
      <c r="D327" s="2017"/>
      <c r="E327" s="2289" t="s">
        <v>226</v>
      </c>
      <c r="F327" s="1842">
        <v>120</v>
      </c>
      <c r="G327" s="1843" t="s">
        <v>226</v>
      </c>
      <c r="H327" s="1842">
        <v>120</v>
      </c>
      <c r="I327" s="1843" t="s">
        <v>226</v>
      </c>
      <c r="J327" s="1842">
        <v>120</v>
      </c>
      <c r="K327" s="2290">
        <v>100</v>
      </c>
      <c r="L327" s="2291">
        <v>100</v>
      </c>
      <c r="M327" s="2626">
        <v>105</v>
      </c>
      <c r="N327" s="2627">
        <v>90</v>
      </c>
      <c r="O327" s="2628">
        <v>70</v>
      </c>
      <c r="P327" s="2628">
        <v>70</v>
      </c>
      <c r="Q327" s="2628">
        <v>70</v>
      </c>
      <c r="R327" s="2654" t="s">
        <v>1007</v>
      </c>
      <c r="S327" s="2655" t="s">
        <v>1008</v>
      </c>
      <c r="T327" s="2292" t="s">
        <v>1086</v>
      </c>
      <c r="U327" s="2293"/>
      <c r="V327" s="2294"/>
      <c r="W327" s="2295"/>
      <c r="X327" s="2294"/>
      <c r="Y327" s="2296"/>
      <c r="Z327" s="2293"/>
      <c r="AA327" s="1108"/>
      <c r="AB327" s="1108"/>
      <c r="AC327" s="1108"/>
      <c r="AD327" s="1108"/>
      <c r="AE327" s="1108"/>
      <c r="AF327" s="1108"/>
      <c r="AG327" s="1108"/>
      <c r="AH327" s="1108"/>
      <c r="AI327" s="760"/>
      <c r="AJ327" s="760"/>
      <c r="BL327" s="1934"/>
      <c r="BO327" s="760"/>
    </row>
    <row r="328" spans="1:67" ht="21.75" customHeight="1">
      <c r="A328" s="760"/>
      <c r="B328" s="485"/>
      <c r="C328" s="1851" t="s">
        <v>1340</v>
      </c>
      <c r="D328" s="2017"/>
      <c r="E328" s="2289" t="s">
        <v>226</v>
      </c>
      <c r="F328" s="1842">
        <v>0</v>
      </c>
      <c r="G328" s="1843" t="s">
        <v>226</v>
      </c>
      <c r="H328" s="1842">
        <v>0</v>
      </c>
      <c r="I328" s="1843" t="s">
        <v>226</v>
      </c>
      <c r="J328" s="1842">
        <v>0</v>
      </c>
      <c r="K328" s="2290">
        <v>0</v>
      </c>
      <c r="L328" s="2291">
        <v>0</v>
      </c>
      <c r="M328" s="2626">
        <v>0</v>
      </c>
      <c r="N328" s="2627">
        <v>0</v>
      </c>
      <c r="O328" s="2627">
        <v>0</v>
      </c>
      <c r="P328" s="2627">
        <v>0</v>
      </c>
      <c r="Q328" s="2627">
        <v>0</v>
      </c>
      <c r="R328" s="2627"/>
      <c r="S328" s="2627"/>
      <c r="T328" s="2292" t="s">
        <v>1086</v>
      </c>
      <c r="U328" s="2293"/>
      <c r="V328" s="2294"/>
      <c r="W328" s="2295"/>
      <c r="X328" s="2294"/>
      <c r="Y328" s="2296"/>
      <c r="Z328" s="2293"/>
      <c r="AA328" s="1108"/>
      <c r="AB328" s="1108"/>
      <c r="AC328" s="1108"/>
      <c r="AD328" s="1108"/>
      <c r="AE328" s="1108"/>
      <c r="AF328" s="1108"/>
      <c r="AG328" s="1108"/>
      <c r="AH328" s="1108"/>
      <c r="AI328" s="760"/>
      <c r="AJ328" s="760"/>
      <c r="BL328" s="1934"/>
      <c r="BO328" s="760"/>
    </row>
    <row r="329" spans="1:67" ht="21.75" customHeight="1">
      <c r="A329" s="760"/>
      <c r="B329" s="485"/>
      <c r="C329" s="1851" t="s">
        <v>1341</v>
      </c>
      <c r="D329" s="2017"/>
      <c r="E329" s="2289" t="s">
        <v>226</v>
      </c>
      <c r="F329" s="1842">
        <v>0</v>
      </c>
      <c r="G329" s="1843" t="s">
        <v>226</v>
      </c>
      <c r="H329" s="1842">
        <v>0</v>
      </c>
      <c r="I329" s="1843" t="s">
        <v>226</v>
      </c>
      <c r="J329" s="1842">
        <v>0</v>
      </c>
      <c r="K329" s="2290">
        <v>0</v>
      </c>
      <c r="L329" s="2291">
        <v>0</v>
      </c>
      <c r="M329" s="2626">
        <v>0</v>
      </c>
      <c r="N329" s="2627">
        <v>0</v>
      </c>
      <c r="O329" s="2628">
        <v>0</v>
      </c>
      <c r="P329" s="2628">
        <v>0</v>
      </c>
      <c r="Q329" s="2628">
        <v>0</v>
      </c>
      <c r="R329" s="2654" t="s">
        <v>1260</v>
      </c>
      <c r="S329" s="2655" t="s">
        <v>1260</v>
      </c>
      <c r="T329" s="2292" t="s">
        <v>1086</v>
      </c>
      <c r="U329" s="2293"/>
      <c r="V329" s="2294"/>
      <c r="W329" s="2295"/>
      <c r="X329" s="2294"/>
      <c r="Y329" s="2296"/>
      <c r="Z329" s="2293"/>
      <c r="AA329" s="1108"/>
      <c r="AB329" s="1108"/>
      <c r="AC329" s="1108"/>
      <c r="AD329" s="1108"/>
      <c r="AE329" s="1108"/>
      <c r="AF329" s="1108"/>
      <c r="AG329" s="1108"/>
      <c r="AH329" s="1108"/>
      <c r="AI329" s="760"/>
      <c r="AJ329" s="760"/>
      <c r="BL329" s="1934"/>
      <c r="BO329" s="760"/>
    </row>
    <row r="330" spans="1:67" ht="21.75" customHeight="1">
      <c r="A330" s="760"/>
      <c r="B330" s="485"/>
      <c r="C330" s="1851" t="s">
        <v>1342</v>
      </c>
      <c r="D330" s="2017"/>
      <c r="E330" s="2289" t="s">
        <v>226</v>
      </c>
      <c r="F330" s="1842">
        <v>60</v>
      </c>
      <c r="G330" s="1843" t="s">
        <v>226</v>
      </c>
      <c r="H330" s="1842">
        <v>60</v>
      </c>
      <c r="I330" s="1843" t="s">
        <v>226</v>
      </c>
      <c r="J330" s="1842">
        <v>60</v>
      </c>
      <c r="K330" s="2290">
        <v>60</v>
      </c>
      <c r="L330" s="2291">
        <v>60</v>
      </c>
      <c r="M330" s="2626">
        <v>90</v>
      </c>
      <c r="N330" s="2627">
        <v>75</v>
      </c>
      <c r="O330" s="2628">
        <v>60</v>
      </c>
      <c r="P330" s="2628">
        <v>60</v>
      </c>
      <c r="Q330" s="2628">
        <v>60</v>
      </c>
      <c r="R330" s="2654" t="s">
        <v>1007</v>
      </c>
      <c r="S330" s="2655" t="s">
        <v>1008</v>
      </c>
      <c r="T330" s="2292" t="s">
        <v>1086</v>
      </c>
      <c r="U330" s="2293"/>
      <c r="V330" s="2294"/>
      <c r="W330" s="2295"/>
      <c r="X330" s="2294"/>
      <c r="Y330" s="2296"/>
      <c r="Z330" s="2293"/>
      <c r="AA330" s="1108"/>
      <c r="AB330" s="1108"/>
      <c r="AC330" s="1108"/>
      <c r="AD330" s="1108"/>
      <c r="AE330" s="1108"/>
      <c r="AF330" s="1108"/>
      <c r="AG330" s="1108"/>
      <c r="AH330" s="1108"/>
      <c r="AI330" s="760"/>
      <c r="AJ330" s="760"/>
      <c r="BL330" s="1934"/>
      <c r="BO330" s="760"/>
    </row>
    <row r="331" spans="1:67" ht="21.75" customHeight="1">
      <c r="A331" s="760"/>
      <c r="B331" s="485"/>
      <c r="C331" s="1851" t="s">
        <v>1343</v>
      </c>
      <c r="D331" s="2017"/>
      <c r="E331" s="2289" t="s">
        <v>226</v>
      </c>
      <c r="F331" s="1842">
        <v>120</v>
      </c>
      <c r="G331" s="1843" t="s">
        <v>226</v>
      </c>
      <c r="H331" s="1842">
        <v>120</v>
      </c>
      <c r="I331" s="1843" t="s">
        <v>226</v>
      </c>
      <c r="J331" s="1842">
        <v>120</v>
      </c>
      <c r="K331" s="2290">
        <v>120</v>
      </c>
      <c r="L331" s="2291">
        <v>120</v>
      </c>
      <c r="M331" s="2626">
        <v>180</v>
      </c>
      <c r="N331" s="2627">
        <v>150</v>
      </c>
      <c r="O331" s="2628">
        <v>120</v>
      </c>
      <c r="P331" s="2628">
        <v>120</v>
      </c>
      <c r="Q331" s="2628">
        <v>120</v>
      </c>
      <c r="R331" s="2654" t="s">
        <v>1007</v>
      </c>
      <c r="S331" s="2655" t="s">
        <v>1008</v>
      </c>
      <c r="T331" s="2292" t="s">
        <v>1086</v>
      </c>
      <c r="U331" s="2293"/>
      <c r="V331" s="2294"/>
      <c r="W331" s="2295"/>
      <c r="X331" s="2294"/>
      <c r="Y331" s="2296"/>
      <c r="Z331" s="2293"/>
      <c r="AA331" s="1108"/>
      <c r="AB331" s="1108"/>
      <c r="AC331" s="1108"/>
      <c r="AD331" s="1108"/>
      <c r="AE331" s="1108"/>
      <c r="AF331" s="1108"/>
      <c r="AG331" s="1108"/>
      <c r="AH331" s="1108"/>
      <c r="AI331" s="760"/>
      <c r="AJ331" s="760"/>
      <c r="BL331" s="1934"/>
      <c r="BO331" s="760"/>
    </row>
    <row r="332" spans="1:67" ht="21.75" customHeight="1">
      <c r="A332" s="760"/>
      <c r="B332" s="485"/>
      <c r="C332" s="1851" t="s">
        <v>1344</v>
      </c>
      <c r="D332" s="2017"/>
      <c r="E332" s="2289" t="s">
        <v>226</v>
      </c>
      <c r="F332" s="1842">
        <v>120</v>
      </c>
      <c r="G332" s="1843" t="s">
        <v>226</v>
      </c>
      <c r="H332" s="1842">
        <v>120</v>
      </c>
      <c r="I332" s="1843" t="s">
        <v>226</v>
      </c>
      <c r="J332" s="1842">
        <v>120</v>
      </c>
      <c r="K332" s="2290">
        <v>80</v>
      </c>
      <c r="L332" s="2291">
        <v>80</v>
      </c>
      <c r="M332" s="2626">
        <v>120</v>
      </c>
      <c r="N332" s="2627">
        <v>100</v>
      </c>
      <c r="O332" s="2628">
        <v>80</v>
      </c>
      <c r="P332" s="2628">
        <v>80</v>
      </c>
      <c r="Q332" s="2628">
        <v>80</v>
      </c>
      <c r="R332" s="2654" t="s">
        <v>1007</v>
      </c>
      <c r="S332" s="2655" t="s">
        <v>1008</v>
      </c>
      <c r="T332" s="2292" t="s">
        <v>1086</v>
      </c>
      <c r="U332" s="2293"/>
      <c r="V332" s="2294"/>
      <c r="W332" s="2295"/>
      <c r="X332" s="2294"/>
      <c r="Y332" s="2296"/>
      <c r="Z332" s="2293"/>
      <c r="AA332" s="1108"/>
      <c r="AB332" s="1108"/>
      <c r="AC332" s="1108"/>
      <c r="AD332" s="1108"/>
      <c r="AE332" s="1108"/>
      <c r="AF332" s="1108"/>
      <c r="AG332" s="1108"/>
      <c r="AH332" s="1108"/>
      <c r="AI332" s="760"/>
      <c r="AJ332" s="760"/>
      <c r="BL332" s="1934"/>
      <c r="BO332" s="760"/>
    </row>
    <row r="333" spans="1:67" ht="21.75" customHeight="1">
      <c r="A333" s="760"/>
      <c r="B333" s="485"/>
      <c r="C333" s="1851" t="s">
        <v>1345</v>
      </c>
      <c r="D333" s="2017"/>
      <c r="E333" s="2289" t="s">
        <v>226</v>
      </c>
      <c r="F333" s="1842">
        <v>70</v>
      </c>
      <c r="G333" s="1843" t="s">
        <v>226</v>
      </c>
      <c r="H333" s="1842">
        <v>70</v>
      </c>
      <c r="I333" s="1843" t="s">
        <v>226</v>
      </c>
      <c r="J333" s="1842">
        <v>70</v>
      </c>
      <c r="K333" s="2290">
        <v>60</v>
      </c>
      <c r="L333" s="2291">
        <v>60</v>
      </c>
      <c r="M333" s="2626">
        <v>135</v>
      </c>
      <c r="N333" s="2627">
        <v>115</v>
      </c>
      <c r="O333" s="2628">
        <v>90</v>
      </c>
      <c r="P333" s="2628">
        <v>90</v>
      </c>
      <c r="Q333" s="2628">
        <v>90</v>
      </c>
      <c r="R333" s="2654" t="s">
        <v>1007</v>
      </c>
      <c r="S333" s="2655" t="s">
        <v>1008</v>
      </c>
      <c r="T333" s="2292" t="s">
        <v>1086</v>
      </c>
      <c r="U333" s="2293"/>
      <c r="V333" s="2294"/>
      <c r="W333" s="2295"/>
      <c r="X333" s="2294"/>
      <c r="Y333" s="2296"/>
      <c r="Z333" s="2293"/>
      <c r="AA333" s="1108"/>
      <c r="AB333" s="1108"/>
      <c r="AC333" s="1108"/>
      <c r="AD333" s="1108"/>
      <c r="AE333" s="1108"/>
      <c r="AF333" s="1108"/>
      <c r="AG333" s="1108"/>
      <c r="AH333" s="1108"/>
      <c r="AI333" s="760"/>
      <c r="AJ333" s="760"/>
      <c r="BL333" s="1934"/>
      <c r="BO333" s="760"/>
    </row>
    <row r="334" spans="1:67" ht="21.75" customHeight="1">
      <c r="A334" s="760"/>
      <c r="B334" s="485"/>
      <c r="C334" s="1851" t="s">
        <v>1346</v>
      </c>
      <c r="D334" s="2017"/>
      <c r="E334" s="2289" t="s">
        <v>226</v>
      </c>
      <c r="F334" s="1842">
        <v>180</v>
      </c>
      <c r="G334" s="1843" t="s">
        <v>226</v>
      </c>
      <c r="H334" s="1842">
        <v>180</v>
      </c>
      <c r="I334" s="1843" t="s">
        <v>226</v>
      </c>
      <c r="J334" s="1842">
        <v>180</v>
      </c>
      <c r="K334" s="2290">
        <v>140</v>
      </c>
      <c r="L334" s="2291">
        <v>140</v>
      </c>
      <c r="M334" s="2626">
        <v>105</v>
      </c>
      <c r="N334" s="2627">
        <v>90</v>
      </c>
      <c r="O334" s="2628">
        <v>70</v>
      </c>
      <c r="P334" s="2628">
        <v>70</v>
      </c>
      <c r="Q334" s="2628">
        <v>70</v>
      </c>
      <c r="R334" s="2654" t="s">
        <v>1007</v>
      </c>
      <c r="S334" s="2655" t="s">
        <v>1008</v>
      </c>
      <c r="T334" s="2292" t="s">
        <v>1086</v>
      </c>
      <c r="U334" s="2293"/>
      <c r="V334" s="2294"/>
      <c r="W334" s="2295"/>
      <c r="X334" s="2294"/>
      <c r="Y334" s="2296"/>
      <c r="Z334" s="2293"/>
      <c r="AA334" s="1108"/>
      <c r="AB334" s="1108"/>
      <c r="AC334" s="1108"/>
      <c r="AD334" s="1108"/>
      <c r="AE334" s="1108"/>
      <c r="AF334" s="1108"/>
      <c r="AG334" s="1108"/>
      <c r="AH334" s="1108"/>
      <c r="AI334" s="760"/>
      <c r="AJ334" s="760"/>
      <c r="BL334" s="1934"/>
      <c r="BO334" s="760"/>
    </row>
    <row r="335" spans="1:67" ht="21.75" customHeight="1">
      <c r="A335" s="760"/>
      <c r="B335" s="485"/>
      <c r="C335" s="1851" t="s">
        <v>1347</v>
      </c>
      <c r="D335" s="2017"/>
      <c r="E335" s="2289" t="s">
        <v>226</v>
      </c>
      <c r="F335" s="1842">
        <v>120</v>
      </c>
      <c r="G335" s="1843" t="s">
        <v>226</v>
      </c>
      <c r="H335" s="1842">
        <v>120</v>
      </c>
      <c r="I335" s="1843" t="s">
        <v>226</v>
      </c>
      <c r="J335" s="1842">
        <v>120</v>
      </c>
      <c r="K335" s="2290">
        <v>100</v>
      </c>
      <c r="L335" s="2291">
        <v>100</v>
      </c>
      <c r="M335" s="2626">
        <v>120</v>
      </c>
      <c r="N335" s="2627">
        <v>100</v>
      </c>
      <c r="O335" s="2628">
        <v>80</v>
      </c>
      <c r="P335" s="2628">
        <v>80</v>
      </c>
      <c r="Q335" s="2628">
        <v>80</v>
      </c>
      <c r="R335" s="2654" t="s">
        <v>1007</v>
      </c>
      <c r="S335" s="2655" t="s">
        <v>1008</v>
      </c>
      <c r="T335" s="2292" t="s">
        <v>1086</v>
      </c>
      <c r="U335" s="2293"/>
      <c r="V335" s="2294"/>
      <c r="W335" s="2295"/>
      <c r="X335" s="2294"/>
      <c r="Y335" s="2296"/>
      <c r="Z335" s="2293"/>
      <c r="AA335" s="1108"/>
      <c r="AB335" s="1108"/>
      <c r="AC335" s="1108"/>
      <c r="AD335" s="1108"/>
      <c r="AE335" s="1108"/>
      <c r="AF335" s="1108"/>
      <c r="AG335" s="1108"/>
      <c r="AH335" s="1108"/>
      <c r="AI335" s="760"/>
      <c r="AJ335" s="760"/>
      <c r="BL335" s="1934"/>
      <c r="BO335" s="760"/>
    </row>
    <row r="336" spans="1:67" ht="21.75" customHeight="1">
      <c r="A336" s="760"/>
      <c r="B336" s="485"/>
      <c r="C336" s="1851" t="s">
        <v>1348</v>
      </c>
      <c r="D336" s="2017"/>
      <c r="E336" s="2289" t="s">
        <v>226</v>
      </c>
      <c r="F336" s="1842">
        <v>50</v>
      </c>
      <c r="G336" s="1843" t="s">
        <v>226</v>
      </c>
      <c r="H336" s="1842">
        <v>50</v>
      </c>
      <c r="I336" s="1843" t="s">
        <v>226</v>
      </c>
      <c r="J336" s="1842">
        <v>50</v>
      </c>
      <c r="K336" s="2290">
        <v>40</v>
      </c>
      <c r="L336" s="2291">
        <v>40</v>
      </c>
      <c r="M336" s="2626">
        <v>75</v>
      </c>
      <c r="N336" s="2627">
        <v>65</v>
      </c>
      <c r="O336" s="2628">
        <v>50</v>
      </c>
      <c r="P336" s="2628">
        <v>50</v>
      </c>
      <c r="Q336" s="2628">
        <v>50</v>
      </c>
      <c r="R336" s="2654" t="s">
        <v>1007</v>
      </c>
      <c r="S336" s="2655" t="s">
        <v>1008</v>
      </c>
      <c r="T336" s="2292" t="s">
        <v>1086</v>
      </c>
      <c r="U336" s="2293"/>
      <c r="V336" s="2294"/>
      <c r="W336" s="2295"/>
      <c r="X336" s="2294"/>
      <c r="Y336" s="2296"/>
      <c r="Z336" s="2293"/>
      <c r="AA336" s="1108"/>
      <c r="AB336" s="1108"/>
      <c r="AC336" s="1108"/>
      <c r="AD336" s="1108"/>
      <c r="AE336" s="1108"/>
      <c r="AF336" s="1108"/>
      <c r="AG336" s="1108"/>
      <c r="AH336" s="1108"/>
      <c r="AI336" s="760"/>
      <c r="AJ336" s="760"/>
      <c r="BL336" s="1934"/>
      <c r="BO336" s="760"/>
    </row>
    <row r="337" spans="1:67" ht="21.75" customHeight="1">
      <c r="A337" s="760"/>
      <c r="B337" s="485"/>
      <c r="C337" s="1851" t="s">
        <v>1349</v>
      </c>
      <c r="D337" s="2017"/>
      <c r="E337" s="2289" t="s">
        <v>226</v>
      </c>
      <c r="F337" s="1842">
        <v>80</v>
      </c>
      <c r="G337" s="1843" t="s">
        <v>226</v>
      </c>
      <c r="H337" s="1842">
        <v>80</v>
      </c>
      <c r="I337" s="1843" t="s">
        <v>226</v>
      </c>
      <c r="J337" s="1842">
        <v>80</v>
      </c>
      <c r="K337" s="2290">
        <v>70</v>
      </c>
      <c r="L337" s="2291">
        <v>70</v>
      </c>
      <c r="M337" s="2626">
        <v>120</v>
      </c>
      <c r="N337" s="2627">
        <v>100</v>
      </c>
      <c r="O337" s="2628">
        <v>80</v>
      </c>
      <c r="P337" s="2628">
        <v>80</v>
      </c>
      <c r="Q337" s="2628">
        <v>80</v>
      </c>
      <c r="R337" s="2654" t="s">
        <v>1007</v>
      </c>
      <c r="S337" s="2655" t="s">
        <v>1008</v>
      </c>
      <c r="T337" s="2297">
        <v>150</v>
      </c>
      <c r="U337" s="2298">
        <v>125</v>
      </c>
      <c r="V337" s="2299">
        <v>90</v>
      </c>
      <c r="W337" s="2300">
        <v>100</v>
      </c>
      <c r="X337" s="2299">
        <v>115</v>
      </c>
      <c r="Y337" s="2301" t="s">
        <v>1869</v>
      </c>
      <c r="Z337" s="2302" t="s">
        <v>1008</v>
      </c>
      <c r="AA337" s="1108"/>
      <c r="AB337" s="1108"/>
      <c r="AC337" s="1108"/>
      <c r="AD337" s="1108"/>
      <c r="AE337" s="1108"/>
      <c r="AF337" s="1108"/>
      <c r="AG337" s="1108"/>
      <c r="AH337" s="1108"/>
      <c r="AI337" s="760"/>
      <c r="AJ337" s="760"/>
      <c r="BL337" s="1934"/>
      <c r="BO337" s="760"/>
    </row>
    <row r="338" spans="1:67" ht="21.75" customHeight="1">
      <c r="A338" s="760"/>
      <c r="B338" s="485"/>
      <c r="C338" s="1851" t="s">
        <v>1350</v>
      </c>
      <c r="D338" s="2017"/>
      <c r="E338" s="2289" t="s">
        <v>226</v>
      </c>
      <c r="F338" s="1842">
        <v>60</v>
      </c>
      <c r="G338" s="1843" t="s">
        <v>226</v>
      </c>
      <c r="H338" s="1842">
        <v>60</v>
      </c>
      <c r="I338" s="1843" t="s">
        <v>226</v>
      </c>
      <c r="J338" s="1842">
        <v>60</v>
      </c>
      <c r="K338" s="2290">
        <v>50</v>
      </c>
      <c r="L338" s="2291">
        <v>50</v>
      </c>
      <c r="M338" s="2626">
        <v>75</v>
      </c>
      <c r="N338" s="2627">
        <v>65</v>
      </c>
      <c r="O338" s="2628">
        <v>50</v>
      </c>
      <c r="P338" s="2628">
        <v>50</v>
      </c>
      <c r="Q338" s="2628">
        <v>50</v>
      </c>
      <c r="R338" s="2654" t="s">
        <v>1007</v>
      </c>
      <c r="S338" s="2655" t="s">
        <v>1008</v>
      </c>
      <c r="T338" s="2297">
        <v>150</v>
      </c>
      <c r="U338" s="2298">
        <v>125</v>
      </c>
      <c r="V338" s="2299">
        <v>90</v>
      </c>
      <c r="W338" s="2300">
        <v>100</v>
      </c>
      <c r="X338" s="2299">
        <v>115</v>
      </c>
      <c r="Y338" s="2301" t="s">
        <v>1869</v>
      </c>
      <c r="Z338" s="2302" t="s">
        <v>1008</v>
      </c>
      <c r="AA338" s="1108"/>
      <c r="AB338" s="1108"/>
      <c r="AC338" s="1108"/>
      <c r="AD338" s="1108"/>
      <c r="AE338" s="1108"/>
      <c r="AF338" s="1108"/>
      <c r="AG338" s="1108"/>
      <c r="AH338" s="1108"/>
      <c r="AI338" s="760"/>
      <c r="AJ338" s="760"/>
      <c r="BL338" s="1934"/>
      <c r="BO338" s="760"/>
    </row>
    <row r="339" spans="1:67" ht="21.75" customHeight="1">
      <c r="A339" s="760"/>
      <c r="B339" s="485"/>
      <c r="C339" s="1851" t="s">
        <v>1351</v>
      </c>
      <c r="D339" s="2017"/>
      <c r="E339" s="2289" t="s">
        <v>226</v>
      </c>
      <c r="F339" s="1842">
        <v>90</v>
      </c>
      <c r="G339" s="1843" t="s">
        <v>226</v>
      </c>
      <c r="H339" s="1842">
        <v>90</v>
      </c>
      <c r="I339" s="1843" t="s">
        <v>226</v>
      </c>
      <c r="J339" s="1842">
        <v>90</v>
      </c>
      <c r="K339" s="2290">
        <v>50</v>
      </c>
      <c r="L339" s="2291">
        <v>50</v>
      </c>
      <c r="M339" s="2626">
        <v>90</v>
      </c>
      <c r="N339" s="2627">
        <v>75</v>
      </c>
      <c r="O339" s="2628">
        <v>60</v>
      </c>
      <c r="P339" s="2628">
        <v>60</v>
      </c>
      <c r="Q339" s="2628">
        <v>60</v>
      </c>
      <c r="R339" s="2654" t="s">
        <v>1007</v>
      </c>
      <c r="S339" s="2655" t="s">
        <v>1008</v>
      </c>
      <c r="T339" s="2297">
        <v>120</v>
      </c>
      <c r="U339" s="2298">
        <v>100</v>
      </c>
      <c r="V339" s="2299">
        <v>70</v>
      </c>
      <c r="W339" s="2300">
        <v>80</v>
      </c>
      <c r="X339" s="2299">
        <v>90</v>
      </c>
      <c r="Y339" s="2301" t="s">
        <v>1869</v>
      </c>
      <c r="Z339" s="2302" t="s">
        <v>1008</v>
      </c>
      <c r="AA339" s="1108"/>
      <c r="AB339" s="1108"/>
      <c r="AC339" s="1108"/>
      <c r="AD339" s="1108"/>
      <c r="AE339" s="1108"/>
      <c r="AF339" s="1108"/>
      <c r="AG339" s="1108"/>
      <c r="AH339" s="1108"/>
      <c r="AI339" s="760"/>
      <c r="AJ339" s="760"/>
      <c r="BL339" s="1934"/>
      <c r="BO339" s="760"/>
    </row>
    <row r="340" spans="1:67" ht="21.75" customHeight="1">
      <c r="A340" s="760"/>
      <c r="B340" s="485"/>
      <c r="C340" s="1851" t="s">
        <v>1352</v>
      </c>
      <c r="D340" s="2017"/>
      <c r="E340" s="2289" t="s">
        <v>226</v>
      </c>
      <c r="F340" s="1842">
        <v>60</v>
      </c>
      <c r="G340" s="1843" t="s">
        <v>226</v>
      </c>
      <c r="H340" s="1842">
        <v>60</v>
      </c>
      <c r="I340" s="1843" t="s">
        <v>226</v>
      </c>
      <c r="J340" s="1842">
        <v>60</v>
      </c>
      <c r="K340" s="2290">
        <v>50</v>
      </c>
      <c r="L340" s="2291">
        <v>50</v>
      </c>
      <c r="M340" s="2626">
        <v>75</v>
      </c>
      <c r="N340" s="2627">
        <v>65</v>
      </c>
      <c r="O340" s="2628">
        <v>50</v>
      </c>
      <c r="P340" s="2628">
        <v>50</v>
      </c>
      <c r="Q340" s="2628">
        <v>50</v>
      </c>
      <c r="R340" s="2654" t="s">
        <v>1007</v>
      </c>
      <c r="S340" s="2655" t="s">
        <v>1008</v>
      </c>
      <c r="T340" s="2297">
        <v>150</v>
      </c>
      <c r="U340" s="2298">
        <v>125</v>
      </c>
      <c r="V340" s="2299">
        <v>90</v>
      </c>
      <c r="W340" s="2300">
        <v>100</v>
      </c>
      <c r="X340" s="2299">
        <v>115</v>
      </c>
      <c r="Y340" s="2301" t="s">
        <v>1869</v>
      </c>
      <c r="Z340" s="2302" t="s">
        <v>1008</v>
      </c>
      <c r="AA340" s="1108"/>
      <c r="AB340" s="1108"/>
      <c r="AC340" s="1108"/>
      <c r="AD340" s="1108"/>
      <c r="AE340" s="1108"/>
      <c r="AF340" s="1108"/>
      <c r="AG340" s="1108"/>
      <c r="AH340" s="1108"/>
      <c r="AI340" s="760"/>
      <c r="AJ340" s="760"/>
      <c r="BL340" s="1934"/>
      <c r="BO340" s="760"/>
    </row>
    <row r="341" spans="1:67" ht="21.75" customHeight="1">
      <c r="A341" s="760"/>
      <c r="B341" s="485"/>
      <c r="C341" s="1851" t="s">
        <v>1353</v>
      </c>
      <c r="D341" s="2017"/>
      <c r="E341" s="2289" t="s">
        <v>226</v>
      </c>
      <c r="F341" s="1842">
        <v>70</v>
      </c>
      <c r="G341" s="1843" t="s">
        <v>226</v>
      </c>
      <c r="H341" s="1842">
        <v>70</v>
      </c>
      <c r="I341" s="1843" t="s">
        <v>226</v>
      </c>
      <c r="J341" s="1842">
        <v>70</v>
      </c>
      <c r="K341" s="2290">
        <v>60</v>
      </c>
      <c r="L341" s="2291">
        <v>60</v>
      </c>
      <c r="M341" s="2626">
        <v>90</v>
      </c>
      <c r="N341" s="2627">
        <v>75</v>
      </c>
      <c r="O341" s="2628">
        <v>60</v>
      </c>
      <c r="P341" s="2628">
        <v>60</v>
      </c>
      <c r="Q341" s="2628">
        <v>60</v>
      </c>
      <c r="R341" s="2654" t="s">
        <v>1007</v>
      </c>
      <c r="S341" s="2655" t="s">
        <v>1008</v>
      </c>
      <c r="T341" s="2297">
        <v>90</v>
      </c>
      <c r="U341" s="2298">
        <v>75</v>
      </c>
      <c r="V341" s="2299">
        <v>60</v>
      </c>
      <c r="W341" s="2300">
        <v>60</v>
      </c>
      <c r="X341" s="2299">
        <v>60</v>
      </c>
      <c r="Y341" s="2301" t="s">
        <v>1869</v>
      </c>
      <c r="Z341" s="2302" t="s">
        <v>1008</v>
      </c>
      <c r="AA341" s="1108"/>
      <c r="AB341" s="1108"/>
      <c r="AC341" s="1108"/>
      <c r="AD341" s="1108"/>
      <c r="AE341" s="1108"/>
      <c r="AF341" s="1108"/>
      <c r="AG341" s="1108"/>
      <c r="AH341" s="1108"/>
      <c r="AI341" s="760"/>
      <c r="AJ341" s="760"/>
      <c r="BL341" s="1934"/>
      <c r="BO341" s="760"/>
    </row>
    <row r="342" spans="1:67" ht="21.75" customHeight="1">
      <c r="A342" s="760"/>
      <c r="B342" s="485"/>
      <c r="C342" s="1851" t="s">
        <v>1354</v>
      </c>
      <c r="D342" s="2017"/>
      <c r="E342" s="2289" t="s">
        <v>226</v>
      </c>
      <c r="F342" s="1842">
        <v>170</v>
      </c>
      <c r="G342" s="1843" t="s">
        <v>226</v>
      </c>
      <c r="H342" s="1842">
        <v>170</v>
      </c>
      <c r="I342" s="1843" t="s">
        <v>226</v>
      </c>
      <c r="J342" s="1842">
        <v>170</v>
      </c>
      <c r="K342" s="2290">
        <v>150</v>
      </c>
      <c r="L342" s="2291">
        <v>150</v>
      </c>
      <c r="M342" s="2626">
        <v>105</v>
      </c>
      <c r="N342" s="2627">
        <v>90</v>
      </c>
      <c r="O342" s="2628">
        <v>70</v>
      </c>
      <c r="P342" s="2628">
        <v>70</v>
      </c>
      <c r="Q342" s="2628">
        <v>70</v>
      </c>
      <c r="R342" s="2654" t="s">
        <v>1007</v>
      </c>
      <c r="S342" s="2655" t="s">
        <v>1008</v>
      </c>
      <c r="T342" s="2297">
        <v>300</v>
      </c>
      <c r="U342" s="2298">
        <v>250</v>
      </c>
      <c r="V342" s="2299">
        <v>180</v>
      </c>
      <c r="W342" s="2300">
        <v>200</v>
      </c>
      <c r="X342" s="2299">
        <v>230</v>
      </c>
      <c r="Y342" s="2301" t="s">
        <v>1869</v>
      </c>
      <c r="Z342" s="2302" t="s">
        <v>1008</v>
      </c>
      <c r="AA342" s="1108"/>
      <c r="AB342" s="1108"/>
      <c r="AC342" s="1108"/>
      <c r="AD342" s="1108"/>
      <c r="AE342" s="1108"/>
      <c r="AF342" s="1108"/>
      <c r="AG342" s="1108"/>
      <c r="AH342" s="1108"/>
      <c r="AI342" s="760"/>
      <c r="AJ342" s="760"/>
      <c r="BL342" s="1934"/>
      <c r="BO342" s="760"/>
    </row>
    <row r="343" spans="1:67" ht="21.75" customHeight="1">
      <c r="A343" s="760"/>
      <c r="B343" s="485"/>
      <c r="C343" s="1851" t="s">
        <v>1355</v>
      </c>
      <c r="D343" s="2017"/>
      <c r="E343" s="2289" t="s">
        <v>226</v>
      </c>
      <c r="F343" s="1842">
        <v>150</v>
      </c>
      <c r="G343" s="1843" t="s">
        <v>226</v>
      </c>
      <c r="H343" s="1842">
        <v>150</v>
      </c>
      <c r="I343" s="1843" t="s">
        <v>226</v>
      </c>
      <c r="J343" s="1842">
        <v>150</v>
      </c>
      <c r="K343" s="2290">
        <v>90</v>
      </c>
      <c r="L343" s="2291">
        <v>123</v>
      </c>
      <c r="M343" s="2626">
        <v>75</v>
      </c>
      <c r="N343" s="2627">
        <v>65</v>
      </c>
      <c r="O343" s="2628">
        <v>50</v>
      </c>
      <c r="P343" s="2628">
        <v>50</v>
      </c>
      <c r="Q343" s="2628">
        <v>50</v>
      </c>
      <c r="R343" s="2654" t="s">
        <v>1007</v>
      </c>
      <c r="S343" s="2655" t="s">
        <v>1008</v>
      </c>
      <c r="T343" s="2297">
        <v>135</v>
      </c>
      <c r="U343" s="2298">
        <v>115</v>
      </c>
      <c r="V343" s="2299">
        <v>70</v>
      </c>
      <c r="W343" s="2300">
        <v>90</v>
      </c>
      <c r="X343" s="2299">
        <v>105</v>
      </c>
      <c r="Y343" s="2301" t="s">
        <v>1869</v>
      </c>
      <c r="Z343" s="2302" t="s">
        <v>1008</v>
      </c>
      <c r="AA343" s="1108"/>
      <c r="AB343" s="1108"/>
      <c r="AC343" s="1108"/>
      <c r="AD343" s="1108"/>
      <c r="AE343" s="1108"/>
      <c r="AF343" s="1108"/>
      <c r="AG343" s="1108"/>
      <c r="AH343" s="1108"/>
      <c r="AI343" s="760"/>
      <c r="AJ343" s="760"/>
      <c r="BL343" s="1934"/>
      <c r="BO343" s="760"/>
    </row>
    <row r="344" spans="1:67" ht="21.75" customHeight="1">
      <c r="A344" s="760"/>
      <c r="B344" s="485"/>
      <c r="C344" s="1851" t="s">
        <v>1356</v>
      </c>
      <c r="D344" s="2017"/>
      <c r="E344" s="2289" t="s">
        <v>226</v>
      </c>
      <c r="F344" s="1842">
        <v>150</v>
      </c>
      <c r="G344" s="1843" t="s">
        <v>226</v>
      </c>
      <c r="H344" s="1842">
        <v>150</v>
      </c>
      <c r="I344" s="1843" t="s">
        <v>226</v>
      </c>
      <c r="J344" s="1842">
        <v>150</v>
      </c>
      <c r="K344" s="2290">
        <v>140</v>
      </c>
      <c r="L344" s="2291">
        <v>140</v>
      </c>
      <c r="M344" s="2626">
        <v>120</v>
      </c>
      <c r="N344" s="2627">
        <v>100</v>
      </c>
      <c r="O344" s="2628">
        <v>80</v>
      </c>
      <c r="P344" s="2628">
        <v>80</v>
      </c>
      <c r="Q344" s="2628">
        <v>80</v>
      </c>
      <c r="R344" s="2654" t="s">
        <v>1007</v>
      </c>
      <c r="S344" s="2655" t="s">
        <v>1008</v>
      </c>
      <c r="T344" s="2297">
        <v>150</v>
      </c>
      <c r="U344" s="2298">
        <v>125</v>
      </c>
      <c r="V344" s="2299">
        <v>90</v>
      </c>
      <c r="W344" s="2300">
        <v>100</v>
      </c>
      <c r="X344" s="2299">
        <v>115</v>
      </c>
      <c r="Y344" s="2301" t="s">
        <v>1869</v>
      </c>
      <c r="Z344" s="2302" t="s">
        <v>1008</v>
      </c>
      <c r="AA344" s="1108"/>
      <c r="AB344" s="1108"/>
      <c r="AC344" s="1108"/>
      <c r="AD344" s="1108"/>
      <c r="AE344" s="1108"/>
      <c r="AF344" s="1108"/>
      <c r="AG344" s="1108"/>
      <c r="AH344" s="1108"/>
      <c r="AI344" s="760"/>
      <c r="AJ344" s="760"/>
      <c r="BL344" s="1934"/>
      <c r="BO344" s="760"/>
    </row>
    <row r="345" spans="1:67" ht="21.75" customHeight="1">
      <c r="A345" s="760"/>
      <c r="B345" s="485"/>
      <c r="C345" s="1851" t="s">
        <v>1357</v>
      </c>
      <c r="D345" s="2017"/>
      <c r="E345" s="2289" t="s">
        <v>226</v>
      </c>
      <c r="F345" s="1842">
        <v>100</v>
      </c>
      <c r="G345" s="1843" t="s">
        <v>226</v>
      </c>
      <c r="H345" s="1842">
        <v>100</v>
      </c>
      <c r="I345" s="1843" t="s">
        <v>226</v>
      </c>
      <c r="J345" s="1842">
        <v>100</v>
      </c>
      <c r="K345" s="2290">
        <v>100</v>
      </c>
      <c r="L345" s="2291">
        <v>100</v>
      </c>
      <c r="M345" s="2626">
        <v>65</v>
      </c>
      <c r="N345" s="2627">
        <v>55</v>
      </c>
      <c r="O345" s="2628">
        <v>42</v>
      </c>
      <c r="P345" s="2628">
        <v>42</v>
      </c>
      <c r="Q345" s="2628">
        <v>42</v>
      </c>
      <c r="R345" s="2654" t="s">
        <v>1007</v>
      </c>
      <c r="S345" s="2655" t="s">
        <v>1008</v>
      </c>
      <c r="T345" s="2297">
        <v>130</v>
      </c>
      <c r="U345" s="2298">
        <v>105</v>
      </c>
      <c r="V345" s="2299">
        <v>75</v>
      </c>
      <c r="W345" s="2300">
        <v>84</v>
      </c>
      <c r="X345" s="2299">
        <v>95</v>
      </c>
      <c r="Y345" s="2301" t="s">
        <v>1869</v>
      </c>
      <c r="Z345" s="2302" t="s">
        <v>1008</v>
      </c>
      <c r="AA345" s="1108"/>
      <c r="AB345" s="1108"/>
      <c r="AC345" s="1108"/>
      <c r="AD345" s="1108"/>
      <c r="AE345" s="1108"/>
      <c r="AF345" s="1108"/>
      <c r="AG345" s="1108"/>
      <c r="AH345" s="1108"/>
      <c r="AI345" s="760"/>
      <c r="AJ345" s="760"/>
      <c r="BL345" s="1934"/>
      <c r="BO345" s="760"/>
    </row>
    <row r="346" spans="1:67" ht="21.75" customHeight="1">
      <c r="A346" s="760"/>
      <c r="B346" s="485"/>
      <c r="C346" s="1851" t="s">
        <v>1358</v>
      </c>
      <c r="D346" s="2017"/>
      <c r="E346" s="2289" t="s">
        <v>226</v>
      </c>
      <c r="F346" s="1842">
        <v>150</v>
      </c>
      <c r="G346" s="1843" t="s">
        <v>226</v>
      </c>
      <c r="H346" s="1842">
        <v>150</v>
      </c>
      <c r="I346" s="1843" t="s">
        <v>226</v>
      </c>
      <c r="J346" s="1842">
        <v>150</v>
      </c>
      <c r="K346" s="2290">
        <v>120</v>
      </c>
      <c r="L346" s="2291">
        <v>120</v>
      </c>
      <c r="M346" s="2626">
        <v>85</v>
      </c>
      <c r="N346" s="2627">
        <v>70</v>
      </c>
      <c r="O346" s="2628">
        <v>55</v>
      </c>
      <c r="P346" s="2628">
        <v>55</v>
      </c>
      <c r="Q346" s="2628">
        <v>55</v>
      </c>
      <c r="R346" s="2654" t="s">
        <v>1007</v>
      </c>
      <c r="S346" s="2655" t="s">
        <v>1008</v>
      </c>
      <c r="T346" s="2297">
        <v>360</v>
      </c>
      <c r="U346" s="2298">
        <v>300</v>
      </c>
      <c r="V346" s="2299">
        <v>215</v>
      </c>
      <c r="W346" s="2300">
        <v>240</v>
      </c>
      <c r="X346" s="2299">
        <v>275</v>
      </c>
      <c r="Y346" s="2301" t="s">
        <v>1869</v>
      </c>
      <c r="Z346" s="2302" t="s">
        <v>1008</v>
      </c>
      <c r="AA346" s="1108"/>
      <c r="AB346" s="1108"/>
      <c r="AC346" s="1108"/>
      <c r="AD346" s="1108"/>
      <c r="AE346" s="1108"/>
      <c r="AF346" s="1108"/>
      <c r="AG346" s="1108"/>
      <c r="AH346" s="1108"/>
      <c r="AI346" s="760"/>
      <c r="AJ346" s="760"/>
      <c r="BL346" s="1934"/>
      <c r="BO346" s="760"/>
    </row>
    <row r="347" spans="1:67" ht="21.75" customHeight="1">
      <c r="A347" s="760"/>
      <c r="B347" s="485"/>
      <c r="C347" s="1851" t="s">
        <v>1359</v>
      </c>
      <c r="D347" s="2017"/>
      <c r="E347" s="2289" t="s">
        <v>226</v>
      </c>
      <c r="F347" s="1842">
        <v>60</v>
      </c>
      <c r="G347" s="1843" t="s">
        <v>226</v>
      </c>
      <c r="H347" s="1842">
        <v>60</v>
      </c>
      <c r="I347" s="1843" t="s">
        <v>226</v>
      </c>
      <c r="J347" s="1842">
        <v>60</v>
      </c>
      <c r="K347" s="2290">
        <v>50</v>
      </c>
      <c r="L347" s="2291">
        <v>50</v>
      </c>
      <c r="M347" s="2626"/>
      <c r="N347" s="2627"/>
      <c r="O347" s="2627"/>
      <c r="P347" s="2627"/>
      <c r="Q347" s="2627"/>
      <c r="R347" s="2627"/>
      <c r="S347" s="2627"/>
      <c r="T347" s="2292" t="s">
        <v>1086</v>
      </c>
      <c r="U347" s="2293"/>
      <c r="V347" s="2294"/>
      <c r="W347" s="2295"/>
      <c r="X347" s="2294"/>
      <c r="Y347" s="2296"/>
      <c r="Z347" s="2293"/>
      <c r="AA347" s="1108"/>
      <c r="AB347" s="1108"/>
      <c r="AC347" s="1108"/>
      <c r="AD347" s="1108"/>
      <c r="AE347" s="1108"/>
      <c r="AF347" s="1108"/>
      <c r="AG347" s="1108"/>
      <c r="AH347" s="1108"/>
      <c r="AI347" s="760"/>
      <c r="AJ347" s="760"/>
      <c r="BL347" s="1934"/>
      <c r="BO347" s="760"/>
    </row>
    <row r="348" spans="1:67" ht="21.75" customHeight="1">
      <c r="A348" s="760"/>
      <c r="B348" s="485"/>
      <c r="C348" s="1851" t="s">
        <v>1360</v>
      </c>
      <c r="D348" s="2017"/>
      <c r="E348" s="2289" t="s">
        <v>226</v>
      </c>
      <c r="F348" s="1842">
        <v>90</v>
      </c>
      <c r="G348" s="1843" t="s">
        <v>226</v>
      </c>
      <c r="H348" s="1842">
        <v>90</v>
      </c>
      <c r="I348" s="1843" t="s">
        <v>226</v>
      </c>
      <c r="J348" s="1842">
        <v>90</v>
      </c>
      <c r="K348" s="2290">
        <v>80</v>
      </c>
      <c r="L348" s="2291">
        <v>80</v>
      </c>
      <c r="M348" s="2626"/>
      <c r="N348" s="2627"/>
      <c r="O348" s="2627"/>
      <c r="P348" s="2627"/>
      <c r="Q348" s="2627"/>
      <c r="R348" s="2627"/>
      <c r="S348" s="2627"/>
      <c r="T348" s="2292" t="s">
        <v>1086</v>
      </c>
      <c r="U348" s="2293"/>
      <c r="V348" s="2294"/>
      <c r="W348" s="2295"/>
      <c r="X348" s="2294"/>
      <c r="Y348" s="2296"/>
      <c r="Z348" s="2293"/>
      <c r="AA348" s="1108"/>
      <c r="AB348" s="1108"/>
      <c r="AC348" s="1108"/>
      <c r="AD348" s="1108"/>
      <c r="AE348" s="1108"/>
      <c r="AF348" s="1108"/>
      <c r="AG348" s="1108"/>
      <c r="AH348" s="1108"/>
      <c r="AI348" s="760"/>
      <c r="AJ348" s="760"/>
      <c r="BL348" s="1934"/>
      <c r="BO348" s="760"/>
    </row>
    <row r="349" spans="1:67" ht="21.75" customHeight="1">
      <c r="A349" s="760"/>
      <c r="B349" s="485"/>
      <c r="C349" s="1851" t="s">
        <v>1361</v>
      </c>
      <c r="D349" s="2017"/>
      <c r="E349" s="2289" t="s">
        <v>226</v>
      </c>
      <c r="F349" s="1842">
        <v>100</v>
      </c>
      <c r="G349" s="1843" t="s">
        <v>226</v>
      </c>
      <c r="H349" s="1842">
        <v>100</v>
      </c>
      <c r="I349" s="1843" t="s">
        <v>226</v>
      </c>
      <c r="J349" s="1842">
        <v>100</v>
      </c>
      <c r="K349" s="2290">
        <v>90</v>
      </c>
      <c r="L349" s="2291">
        <v>90</v>
      </c>
      <c r="M349" s="2626">
        <v>90</v>
      </c>
      <c r="N349" s="2627">
        <v>75</v>
      </c>
      <c r="O349" s="2628">
        <v>60</v>
      </c>
      <c r="P349" s="2628">
        <v>60</v>
      </c>
      <c r="Q349" s="2628">
        <v>60</v>
      </c>
      <c r="R349" s="2654" t="s">
        <v>1007</v>
      </c>
      <c r="S349" s="2655" t="s">
        <v>1008</v>
      </c>
      <c r="T349" s="2297">
        <v>150</v>
      </c>
      <c r="U349" s="2298">
        <v>125</v>
      </c>
      <c r="V349" s="2299">
        <v>90</v>
      </c>
      <c r="W349" s="2300">
        <v>100</v>
      </c>
      <c r="X349" s="2299">
        <v>115</v>
      </c>
      <c r="Y349" s="2301" t="s">
        <v>1869</v>
      </c>
      <c r="Z349" s="2302" t="s">
        <v>1008</v>
      </c>
      <c r="AA349" s="1108"/>
      <c r="AB349" s="1108"/>
      <c r="AC349" s="1108"/>
      <c r="AD349" s="1108"/>
      <c r="AE349" s="1108"/>
      <c r="AF349" s="1108"/>
      <c r="AG349" s="1108"/>
      <c r="AH349" s="1108"/>
      <c r="AI349" s="760"/>
      <c r="AJ349" s="760"/>
      <c r="BL349" s="1934"/>
      <c r="BO349" s="760"/>
    </row>
    <row r="350" spans="1:67" ht="21.75" customHeight="1">
      <c r="A350" s="760"/>
      <c r="B350" s="485"/>
      <c r="C350" s="1851" t="s">
        <v>1362</v>
      </c>
      <c r="D350" s="2017"/>
      <c r="E350" s="2289" t="s">
        <v>226</v>
      </c>
      <c r="F350" s="1842">
        <v>60</v>
      </c>
      <c r="G350" s="1843" t="s">
        <v>226</v>
      </c>
      <c r="H350" s="1842">
        <v>60</v>
      </c>
      <c r="I350" s="1843" t="s">
        <v>226</v>
      </c>
      <c r="J350" s="1842">
        <v>60</v>
      </c>
      <c r="K350" s="2290">
        <v>50</v>
      </c>
      <c r="L350" s="2291">
        <v>50</v>
      </c>
      <c r="M350" s="2626">
        <v>60</v>
      </c>
      <c r="N350" s="2627">
        <v>50</v>
      </c>
      <c r="O350" s="2628">
        <v>40</v>
      </c>
      <c r="P350" s="2628">
        <v>40</v>
      </c>
      <c r="Q350" s="2628">
        <v>40</v>
      </c>
      <c r="R350" s="2654" t="s">
        <v>1007</v>
      </c>
      <c r="S350" s="2655" t="s">
        <v>1008</v>
      </c>
      <c r="T350" s="2297">
        <v>450</v>
      </c>
      <c r="U350" s="2298">
        <v>375</v>
      </c>
      <c r="V350" s="2299">
        <v>270</v>
      </c>
      <c r="W350" s="2300">
        <v>300</v>
      </c>
      <c r="X350" s="2299">
        <v>345</v>
      </c>
      <c r="Y350" s="2301" t="s">
        <v>1869</v>
      </c>
      <c r="Z350" s="2302" t="s">
        <v>1008</v>
      </c>
      <c r="AA350" s="1108"/>
      <c r="AB350" s="1108"/>
      <c r="AC350" s="1108"/>
      <c r="AD350" s="1108"/>
      <c r="AE350" s="1108"/>
      <c r="AF350" s="1108"/>
      <c r="AG350" s="1108"/>
      <c r="AH350" s="1108"/>
      <c r="AI350" s="760"/>
      <c r="AJ350" s="760"/>
      <c r="BL350" s="1934"/>
      <c r="BO350" s="760"/>
    </row>
    <row r="351" spans="1:67" ht="21.75" customHeight="1">
      <c r="A351" s="760"/>
      <c r="B351" s="485"/>
      <c r="C351" s="1851" t="s">
        <v>1363</v>
      </c>
      <c r="D351" s="2017"/>
      <c r="E351" s="2289" t="s">
        <v>226</v>
      </c>
      <c r="F351" s="1842">
        <v>100</v>
      </c>
      <c r="G351" s="1843" t="s">
        <v>226</v>
      </c>
      <c r="H351" s="1842">
        <v>100</v>
      </c>
      <c r="I351" s="1843" t="s">
        <v>226</v>
      </c>
      <c r="J351" s="1842">
        <v>100</v>
      </c>
      <c r="K351" s="2290">
        <v>90</v>
      </c>
      <c r="L351" s="2291">
        <v>90</v>
      </c>
      <c r="M351" s="2626">
        <v>135</v>
      </c>
      <c r="N351" s="2627">
        <v>115</v>
      </c>
      <c r="O351" s="2628">
        <v>90</v>
      </c>
      <c r="P351" s="2628">
        <v>90</v>
      </c>
      <c r="Q351" s="2628">
        <v>90</v>
      </c>
      <c r="R351" s="2654" t="s">
        <v>1007</v>
      </c>
      <c r="S351" s="2655" t="s">
        <v>1008</v>
      </c>
      <c r="T351" s="2297">
        <v>210</v>
      </c>
      <c r="U351" s="2298">
        <v>175</v>
      </c>
      <c r="V351" s="2299">
        <v>125</v>
      </c>
      <c r="W351" s="2300">
        <v>140</v>
      </c>
      <c r="X351" s="2299">
        <v>160</v>
      </c>
      <c r="Y351" s="2301" t="s">
        <v>1869</v>
      </c>
      <c r="Z351" s="2302" t="s">
        <v>1008</v>
      </c>
      <c r="AA351" s="1108"/>
      <c r="AB351" s="1108"/>
      <c r="AC351" s="1108"/>
      <c r="AD351" s="1108"/>
      <c r="AE351" s="1108"/>
      <c r="AF351" s="1108"/>
      <c r="AG351" s="1108"/>
      <c r="AH351" s="1108"/>
      <c r="AI351" s="760"/>
      <c r="AJ351" s="760"/>
      <c r="BL351" s="1934"/>
      <c r="BO351" s="760"/>
    </row>
    <row r="352" spans="1:67" ht="21.75" customHeight="1">
      <c r="A352" s="760"/>
      <c r="B352" s="485"/>
      <c r="C352" s="1851" t="s">
        <v>1364</v>
      </c>
      <c r="D352" s="2017"/>
      <c r="E352" s="2289" t="s">
        <v>226</v>
      </c>
      <c r="F352" s="1842">
        <v>70</v>
      </c>
      <c r="G352" s="1843" t="s">
        <v>226</v>
      </c>
      <c r="H352" s="1842">
        <v>70</v>
      </c>
      <c r="I352" s="1843" t="s">
        <v>226</v>
      </c>
      <c r="J352" s="1842">
        <v>70</v>
      </c>
      <c r="K352" s="2290">
        <v>40</v>
      </c>
      <c r="L352" s="2291">
        <v>40</v>
      </c>
      <c r="M352" s="2626">
        <v>75</v>
      </c>
      <c r="N352" s="2627">
        <v>65</v>
      </c>
      <c r="O352" s="2628">
        <v>50</v>
      </c>
      <c r="P352" s="2628">
        <v>50</v>
      </c>
      <c r="Q352" s="2628">
        <v>50</v>
      </c>
      <c r="R352" s="2654" t="s">
        <v>1007</v>
      </c>
      <c r="S352" s="2655" t="s">
        <v>1008</v>
      </c>
      <c r="T352" s="2297">
        <v>135</v>
      </c>
      <c r="U352" s="2298">
        <v>115</v>
      </c>
      <c r="V352" s="2299">
        <v>70</v>
      </c>
      <c r="W352" s="2300">
        <v>90</v>
      </c>
      <c r="X352" s="2299">
        <v>105</v>
      </c>
      <c r="Y352" s="2301" t="s">
        <v>1869</v>
      </c>
      <c r="Z352" s="2302" t="s">
        <v>1008</v>
      </c>
      <c r="AA352" s="1108"/>
      <c r="AB352" s="1108"/>
      <c r="AC352" s="1108"/>
      <c r="AD352" s="1108"/>
      <c r="AE352" s="1108"/>
      <c r="AF352" s="1108"/>
      <c r="AG352" s="1108"/>
      <c r="AH352" s="1108"/>
      <c r="AI352" s="760"/>
      <c r="AJ352" s="760"/>
      <c r="BL352" s="1934"/>
      <c r="BO352" s="760"/>
    </row>
    <row r="353" spans="1:67" ht="21.75" customHeight="1">
      <c r="A353" s="760"/>
      <c r="B353" s="485"/>
      <c r="C353" s="1851" t="s">
        <v>1365</v>
      </c>
      <c r="D353" s="2017"/>
      <c r="E353" s="2289" t="s">
        <v>226</v>
      </c>
      <c r="F353" s="1842">
        <v>150</v>
      </c>
      <c r="G353" s="1843" t="s">
        <v>226</v>
      </c>
      <c r="H353" s="1842">
        <v>150</v>
      </c>
      <c r="I353" s="1843" t="s">
        <v>226</v>
      </c>
      <c r="J353" s="1842">
        <v>150</v>
      </c>
      <c r="K353" s="2290">
        <v>120</v>
      </c>
      <c r="L353" s="2291">
        <v>120</v>
      </c>
      <c r="M353" s="2626">
        <v>45</v>
      </c>
      <c r="N353" s="2627">
        <v>40</v>
      </c>
      <c r="O353" s="2628">
        <v>30</v>
      </c>
      <c r="P353" s="2628">
        <v>30</v>
      </c>
      <c r="Q353" s="2628">
        <v>30</v>
      </c>
      <c r="R353" s="2654" t="s">
        <v>1007</v>
      </c>
      <c r="S353" s="2655" t="s">
        <v>1008</v>
      </c>
      <c r="T353" s="2297">
        <v>210</v>
      </c>
      <c r="U353" s="2298">
        <v>175</v>
      </c>
      <c r="V353" s="2299">
        <v>125</v>
      </c>
      <c r="W353" s="2300">
        <v>140</v>
      </c>
      <c r="X353" s="2299">
        <v>160</v>
      </c>
      <c r="Y353" s="2301" t="s">
        <v>1869</v>
      </c>
      <c r="Z353" s="2302" t="s">
        <v>1008</v>
      </c>
      <c r="AA353" s="1108"/>
      <c r="AB353" s="1108"/>
      <c r="AC353" s="1108"/>
      <c r="AD353" s="1108"/>
      <c r="AE353" s="1108"/>
      <c r="AF353" s="1108"/>
      <c r="AG353" s="1108"/>
      <c r="AH353" s="1108"/>
      <c r="AI353" s="760"/>
      <c r="AJ353" s="760"/>
      <c r="BL353" s="1934"/>
      <c r="BO353" s="760"/>
    </row>
    <row r="354" spans="1:67" ht="21.75" customHeight="1">
      <c r="A354" s="760"/>
      <c r="B354" s="485"/>
      <c r="C354" s="1851" t="s">
        <v>1366</v>
      </c>
      <c r="D354" s="2017"/>
      <c r="E354" s="2289" t="s">
        <v>226</v>
      </c>
      <c r="F354" s="1842">
        <v>120</v>
      </c>
      <c r="G354" s="1843" t="s">
        <v>226</v>
      </c>
      <c r="H354" s="1842">
        <v>120</v>
      </c>
      <c r="I354" s="1843" t="s">
        <v>226</v>
      </c>
      <c r="J354" s="1842">
        <v>120</v>
      </c>
      <c r="K354" s="2290">
        <v>110</v>
      </c>
      <c r="L354" s="2291">
        <v>110</v>
      </c>
      <c r="M354" s="2626">
        <v>45</v>
      </c>
      <c r="N354" s="2627">
        <v>40</v>
      </c>
      <c r="O354" s="2628">
        <v>30</v>
      </c>
      <c r="P354" s="2628">
        <v>30</v>
      </c>
      <c r="Q354" s="2628">
        <v>30</v>
      </c>
      <c r="R354" s="2654" t="s">
        <v>1007</v>
      </c>
      <c r="S354" s="2655" t="s">
        <v>1008</v>
      </c>
      <c r="T354" s="2297">
        <v>300</v>
      </c>
      <c r="U354" s="2298">
        <v>250</v>
      </c>
      <c r="V354" s="2299">
        <v>180</v>
      </c>
      <c r="W354" s="2300">
        <v>200</v>
      </c>
      <c r="X354" s="2299">
        <v>230</v>
      </c>
      <c r="Y354" s="2301" t="s">
        <v>1869</v>
      </c>
      <c r="Z354" s="2302" t="s">
        <v>1008</v>
      </c>
      <c r="AA354" s="1108"/>
      <c r="AB354" s="1108"/>
      <c r="AC354" s="1108"/>
      <c r="AD354" s="1108"/>
      <c r="AE354" s="1108"/>
      <c r="AF354" s="1108"/>
      <c r="AG354" s="1108"/>
      <c r="AH354" s="1108"/>
      <c r="AI354" s="760"/>
      <c r="AJ354" s="760"/>
      <c r="BL354" s="1934"/>
      <c r="BO354" s="760"/>
    </row>
    <row r="355" spans="1:67" ht="21.75" customHeight="1">
      <c r="A355" s="760"/>
      <c r="B355" s="485"/>
      <c r="C355" s="1851" t="s">
        <v>1367</v>
      </c>
      <c r="D355" s="2017"/>
      <c r="E355" s="2289" t="s">
        <v>226</v>
      </c>
      <c r="F355" s="1842">
        <v>160</v>
      </c>
      <c r="G355" s="1843" t="s">
        <v>226</v>
      </c>
      <c r="H355" s="1842">
        <v>160</v>
      </c>
      <c r="I355" s="1843" t="s">
        <v>226</v>
      </c>
      <c r="J355" s="1842">
        <v>160</v>
      </c>
      <c r="K355" s="2290">
        <v>120</v>
      </c>
      <c r="L355" s="2291">
        <v>120</v>
      </c>
      <c r="M355" s="2626">
        <v>120</v>
      </c>
      <c r="N355" s="2627">
        <v>100</v>
      </c>
      <c r="O355" s="2628">
        <v>80</v>
      </c>
      <c r="P355" s="2628">
        <v>80</v>
      </c>
      <c r="Q355" s="2628">
        <v>80</v>
      </c>
      <c r="R355" s="2654" t="s">
        <v>1007</v>
      </c>
      <c r="S355" s="2655" t="s">
        <v>1008</v>
      </c>
      <c r="T355" s="2297">
        <v>150</v>
      </c>
      <c r="U355" s="2298">
        <v>125</v>
      </c>
      <c r="V355" s="2299">
        <v>90</v>
      </c>
      <c r="W355" s="2300">
        <v>100</v>
      </c>
      <c r="X355" s="2299">
        <v>115</v>
      </c>
      <c r="Y355" s="2301" t="s">
        <v>1869</v>
      </c>
      <c r="Z355" s="2302" t="s">
        <v>1008</v>
      </c>
      <c r="AA355" s="1108"/>
      <c r="AB355" s="1108"/>
      <c r="AC355" s="1108"/>
      <c r="AD355" s="1108"/>
      <c r="AE355" s="1108"/>
      <c r="AF355" s="1108"/>
      <c r="AG355" s="1108"/>
      <c r="AH355" s="1108"/>
      <c r="AI355" s="760"/>
      <c r="AJ355" s="760"/>
      <c r="BL355" s="1934"/>
      <c r="BO355" s="760"/>
    </row>
    <row r="356" spans="1:67" ht="21.75" customHeight="1">
      <c r="A356" s="760"/>
      <c r="C356" s="1851" t="s">
        <v>1368</v>
      </c>
      <c r="D356" s="2017"/>
      <c r="E356" s="2289" t="s">
        <v>226</v>
      </c>
      <c r="F356" s="1842">
        <v>130</v>
      </c>
      <c r="G356" s="1843" t="s">
        <v>226</v>
      </c>
      <c r="H356" s="1842">
        <v>130</v>
      </c>
      <c r="I356" s="1843" t="s">
        <v>226</v>
      </c>
      <c r="J356" s="1842">
        <v>130</v>
      </c>
      <c r="K356" s="2290">
        <v>110</v>
      </c>
      <c r="L356" s="2291">
        <v>110</v>
      </c>
      <c r="M356" s="2626">
        <v>30</v>
      </c>
      <c r="N356" s="2627">
        <v>25</v>
      </c>
      <c r="O356" s="2628">
        <v>20</v>
      </c>
      <c r="P356" s="2628">
        <v>20</v>
      </c>
      <c r="Q356" s="2628">
        <v>20</v>
      </c>
      <c r="R356" s="2654" t="s">
        <v>1007</v>
      </c>
      <c r="S356" s="2655" t="s">
        <v>1008</v>
      </c>
      <c r="T356" s="2297">
        <v>30</v>
      </c>
      <c r="U356" s="2298">
        <v>25</v>
      </c>
      <c r="V356" s="2299">
        <v>20</v>
      </c>
      <c r="W356" s="2300">
        <v>20</v>
      </c>
      <c r="X356" s="2299">
        <v>20</v>
      </c>
      <c r="Y356" s="2301" t="s">
        <v>1869</v>
      </c>
      <c r="Z356" s="2302" t="s">
        <v>1008</v>
      </c>
      <c r="AA356" s="1108"/>
      <c r="AB356" s="1108"/>
      <c r="AC356" s="1108"/>
      <c r="AD356" s="1108"/>
      <c r="AE356" s="1108"/>
      <c r="AF356" s="1108"/>
      <c r="AG356" s="1108"/>
      <c r="AH356" s="1108"/>
      <c r="AI356" s="760"/>
      <c r="AJ356" s="760"/>
      <c r="BL356" s="1934"/>
    </row>
    <row r="357" spans="1:67" ht="21.75" customHeight="1">
      <c r="A357" s="760"/>
      <c r="C357" s="1851" t="s">
        <v>1369</v>
      </c>
      <c r="D357" s="2017"/>
      <c r="E357" s="2289" t="s">
        <v>226</v>
      </c>
      <c r="F357" s="1842">
        <v>100</v>
      </c>
      <c r="G357" s="1843" t="s">
        <v>226</v>
      </c>
      <c r="H357" s="1842">
        <v>100</v>
      </c>
      <c r="I357" s="1843" t="s">
        <v>226</v>
      </c>
      <c r="J357" s="1842">
        <v>100</v>
      </c>
      <c r="K357" s="2290">
        <v>80</v>
      </c>
      <c r="L357" s="2291">
        <v>80</v>
      </c>
      <c r="M357" s="2626"/>
      <c r="N357" s="2627"/>
      <c r="O357" s="2627"/>
      <c r="P357" s="2627"/>
      <c r="Q357" s="2627"/>
      <c r="R357" s="2627"/>
      <c r="S357" s="2627"/>
      <c r="T357" s="2292" t="s">
        <v>1086</v>
      </c>
      <c r="U357" s="2293"/>
      <c r="V357" s="2294"/>
      <c r="W357" s="2295"/>
      <c r="X357" s="2294"/>
      <c r="Y357" s="2296"/>
      <c r="Z357" s="2293"/>
      <c r="AA357" s="1108"/>
      <c r="AB357" s="1108"/>
      <c r="AC357" s="1108"/>
      <c r="AD357" s="1108"/>
      <c r="AE357" s="1108"/>
      <c r="AF357" s="1108"/>
      <c r="AG357" s="1108"/>
      <c r="AH357" s="1108"/>
      <c r="AI357" s="760"/>
      <c r="AJ357" s="760"/>
      <c r="BC357" s="1935"/>
      <c r="BD357" s="1935"/>
      <c r="BE357" s="1936"/>
      <c r="BF357" s="1936"/>
      <c r="BG357" s="1936"/>
      <c r="BH357" s="1936"/>
      <c r="BI357" s="1936"/>
      <c r="BJ357" s="1936"/>
      <c r="BK357" s="1936"/>
      <c r="BL357" s="1934"/>
    </row>
    <row r="358" spans="1:67" ht="21.75" customHeight="1">
      <c r="A358" s="760"/>
      <c r="C358" s="1851" t="s">
        <v>1370</v>
      </c>
      <c r="D358" s="2017"/>
      <c r="E358" s="2289" t="s">
        <v>226</v>
      </c>
      <c r="F358" s="1842">
        <v>80</v>
      </c>
      <c r="G358" s="1843" t="s">
        <v>226</v>
      </c>
      <c r="H358" s="1842">
        <v>80</v>
      </c>
      <c r="I358" s="1843" t="s">
        <v>226</v>
      </c>
      <c r="J358" s="1842">
        <v>80</v>
      </c>
      <c r="K358" s="2290">
        <v>70</v>
      </c>
      <c r="L358" s="2291">
        <v>70</v>
      </c>
      <c r="M358" s="2626"/>
      <c r="N358" s="2627"/>
      <c r="O358" s="2627"/>
      <c r="P358" s="2627"/>
      <c r="Q358" s="2627"/>
      <c r="R358" s="2627"/>
      <c r="S358" s="2627"/>
      <c r="T358" s="2292" t="s">
        <v>1086</v>
      </c>
      <c r="U358" s="2293"/>
      <c r="V358" s="2294"/>
      <c r="W358" s="2295"/>
      <c r="X358" s="2294"/>
      <c r="Y358" s="2296"/>
      <c r="Z358" s="2293"/>
      <c r="AA358" s="1108"/>
      <c r="AB358" s="1108"/>
      <c r="AC358" s="1108"/>
      <c r="AD358" s="1108"/>
      <c r="AE358" s="1108"/>
      <c r="AF358" s="1108"/>
      <c r="AG358" s="1108"/>
      <c r="AH358" s="1108"/>
      <c r="AI358" s="760"/>
      <c r="AJ358" s="760"/>
      <c r="BC358" s="1935"/>
      <c r="BD358" s="1935"/>
      <c r="BE358" s="1936"/>
      <c r="BF358" s="1936"/>
      <c r="BG358" s="1936"/>
      <c r="BH358" s="1936"/>
      <c r="BI358" s="1936"/>
      <c r="BJ358" s="1936"/>
      <c r="BK358" s="1936"/>
      <c r="BL358" s="1934"/>
    </row>
    <row r="359" spans="1:67" ht="21.75" customHeight="1">
      <c r="A359" s="760"/>
      <c r="C359" s="1851" t="s">
        <v>1371</v>
      </c>
      <c r="D359" s="2017"/>
      <c r="E359" s="2289" t="s">
        <v>226</v>
      </c>
      <c r="F359" s="1842">
        <v>80</v>
      </c>
      <c r="G359" s="1843" t="s">
        <v>226</v>
      </c>
      <c r="H359" s="1842">
        <v>80</v>
      </c>
      <c r="I359" s="1843" t="s">
        <v>226</v>
      </c>
      <c r="J359" s="1842">
        <v>80</v>
      </c>
      <c r="K359" s="2290">
        <v>60</v>
      </c>
      <c r="L359" s="2291">
        <v>60</v>
      </c>
      <c r="M359" s="2626">
        <v>75</v>
      </c>
      <c r="N359" s="2627">
        <v>65</v>
      </c>
      <c r="O359" s="2628">
        <v>50</v>
      </c>
      <c r="P359" s="2628">
        <v>50</v>
      </c>
      <c r="Q359" s="2628">
        <v>50</v>
      </c>
      <c r="R359" s="2654" t="s">
        <v>1007</v>
      </c>
      <c r="S359" s="2655" t="s">
        <v>1008</v>
      </c>
      <c r="T359" s="2292" t="s">
        <v>1086</v>
      </c>
      <c r="U359" s="2293"/>
      <c r="V359" s="2294"/>
      <c r="W359" s="2295"/>
      <c r="X359" s="2294"/>
      <c r="Y359" s="2296"/>
      <c r="Z359" s="2293"/>
      <c r="AA359" s="1108"/>
      <c r="AB359" s="1108"/>
      <c r="AC359" s="1108"/>
      <c r="AD359" s="1108"/>
      <c r="AE359" s="1108"/>
      <c r="AF359" s="1108"/>
      <c r="AG359" s="1108"/>
      <c r="AH359" s="1108"/>
      <c r="AI359" s="760"/>
      <c r="AJ359" s="760"/>
      <c r="BC359" s="1935"/>
      <c r="BD359" s="1935"/>
      <c r="BE359" s="1936"/>
      <c r="BF359" s="1936"/>
      <c r="BG359" s="1936"/>
      <c r="BH359" s="1936"/>
      <c r="BI359" s="1936"/>
      <c r="BJ359" s="1936"/>
      <c r="BK359" s="1936"/>
      <c r="BL359" s="1934"/>
    </row>
    <row r="360" spans="1:67" ht="21.75" customHeight="1">
      <c r="A360" s="760"/>
      <c r="C360" s="1851" t="s">
        <v>1372</v>
      </c>
      <c r="D360" s="2017"/>
      <c r="E360" s="2289" t="s">
        <v>226</v>
      </c>
      <c r="F360" s="1842">
        <v>120</v>
      </c>
      <c r="G360" s="1843" t="s">
        <v>226</v>
      </c>
      <c r="H360" s="1842">
        <v>120</v>
      </c>
      <c r="I360" s="1843" t="s">
        <v>226</v>
      </c>
      <c r="J360" s="1842">
        <v>120</v>
      </c>
      <c r="K360" s="2290">
        <v>110</v>
      </c>
      <c r="L360" s="2291">
        <v>110</v>
      </c>
      <c r="M360" s="2626">
        <v>105</v>
      </c>
      <c r="N360" s="2627">
        <v>90</v>
      </c>
      <c r="O360" s="2628">
        <v>70</v>
      </c>
      <c r="P360" s="2628">
        <v>70</v>
      </c>
      <c r="Q360" s="2628">
        <v>70</v>
      </c>
      <c r="R360" s="2654" t="s">
        <v>1007</v>
      </c>
      <c r="S360" s="2655" t="s">
        <v>1008</v>
      </c>
      <c r="T360" s="2297">
        <v>225</v>
      </c>
      <c r="U360" s="2298">
        <v>190</v>
      </c>
      <c r="V360" s="2299">
        <v>135</v>
      </c>
      <c r="W360" s="2300">
        <v>150</v>
      </c>
      <c r="X360" s="2299">
        <v>175</v>
      </c>
      <c r="Y360" s="2301" t="s">
        <v>1869</v>
      </c>
      <c r="Z360" s="2302" t="s">
        <v>1008</v>
      </c>
      <c r="AA360" s="1108"/>
      <c r="AB360" s="1108"/>
      <c r="AC360" s="1108"/>
      <c r="AD360" s="1108"/>
      <c r="AE360" s="1108"/>
      <c r="AF360" s="1108"/>
      <c r="AG360" s="1108"/>
      <c r="AH360" s="1108"/>
      <c r="AI360" s="760"/>
      <c r="AJ360" s="760"/>
      <c r="BC360" s="1935"/>
      <c r="BD360" s="1935"/>
      <c r="BE360" s="1936"/>
      <c r="BF360" s="1936"/>
      <c r="BG360" s="1936"/>
      <c r="BH360" s="1936"/>
      <c r="BI360" s="1936"/>
      <c r="BJ360" s="1936"/>
      <c r="BK360" s="1936"/>
      <c r="BL360" s="1934"/>
    </row>
    <row r="361" spans="1:67" ht="21.75" customHeight="1">
      <c r="A361" s="760"/>
      <c r="C361" s="1851" t="s">
        <v>1373</v>
      </c>
      <c r="D361" s="2017"/>
      <c r="E361" s="2289" t="s">
        <v>226</v>
      </c>
      <c r="F361" s="1842">
        <v>120</v>
      </c>
      <c r="G361" s="1843" t="s">
        <v>226</v>
      </c>
      <c r="H361" s="1842">
        <v>120</v>
      </c>
      <c r="I361" s="1843" t="s">
        <v>226</v>
      </c>
      <c r="J361" s="1842">
        <v>120</v>
      </c>
      <c r="K361" s="2290">
        <v>80</v>
      </c>
      <c r="L361" s="2291">
        <v>80</v>
      </c>
      <c r="M361" s="2626">
        <v>75</v>
      </c>
      <c r="N361" s="2627">
        <v>65</v>
      </c>
      <c r="O361" s="2628">
        <v>50</v>
      </c>
      <c r="P361" s="2628">
        <v>50</v>
      </c>
      <c r="Q361" s="2628">
        <v>50</v>
      </c>
      <c r="R361" s="2654" t="s">
        <v>1007</v>
      </c>
      <c r="S361" s="2655" t="s">
        <v>1008</v>
      </c>
      <c r="T361" s="2297">
        <v>135</v>
      </c>
      <c r="U361" s="2298">
        <v>115</v>
      </c>
      <c r="V361" s="2299">
        <v>80</v>
      </c>
      <c r="W361" s="2300">
        <v>90</v>
      </c>
      <c r="X361" s="2299">
        <v>105</v>
      </c>
      <c r="Y361" s="2301" t="s">
        <v>1869</v>
      </c>
      <c r="Z361" s="2302" t="s">
        <v>1008</v>
      </c>
      <c r="AA361" s="1108"/>
      <c r="AB361" s="1108"/>
      <c r="AC361" s="1108"/>
      <c r="AD361" s="1108"/>
      <c r="AE361" s="1108"/>
      <c r="AF361" s="1108"/>
      <c r="AG361" s="1108"/>
      <c r="AH361" s="1108"/>
      <c r="AI361" s="760"/>
      <c r="AJ361" s="760"/>
      <c r="BC361" s="1937"/>
      <c r="BD361" s="1937"/>
      <c r="BE361" s="1938"/>
      <c r="BF361" s="1938"/>
      <c r="BG361" s="1938"/>
      <c r="BH361" s="1938"/>
      <c r="BI361" s="1938"/>
      <c r="BJ361" s="1938"/>
      <c r="BK361" s="1938"/>
      <c r="BL361" s="1934"/>
    </row>
    <row r="362" spans="1:67" ht="21.75" customHeight="1">
      <c r="A362" s="760"/>
      <c r="C362" s="1851" t="s">
        <v>1374</v>
      </c>
      <c r="D362" s="2017"/>
      <c r="E362" s="2289" t="s">
        <v>226</v>
      </c>
      <c r="F362" s="1842">
        <v>120</v>
      </c>
      <c r="G362" s="1843" t="s">
        <v>226</v>
      </c>
      <c r="H362" s="1842">
        <v>120</v>
      </c>
      <c r="I362" s="1843" t="s">
        <v>226</v>
      </c>
      <c r="J362" s="1842">
        <v>120</v>
      </c>
      <c r="K362" s="2290">
        <v>100</v>
      </c>
      <c r="L362" s="2291">
        <v>100</v>
      </c>
      <c r="M362" s="2626">
        <v>85</v>
      </c>
      <c r="N362" s="2627">
        <v>70</v>
      </c>
      <c r="O362" s="2628">
        <v>55</v>
      </c>
      <c r="P362" s="2628">
        <v>55</v>
      </c>
      <c r="Q362" s="2628">
        <v>55</v>
      </c>
      <c r="R362" s="2654" t="s">
        <v>1007</v>
      </c>
      <c r="S362" s="2655" t="s">
        <v>1008</v>
      </c>
      <c r="T362" s="2297">
        <v>225</v>
      </c>
      <c r="U362" s="2298">
        <v>190</v>
      </c>
      <c r="V362" s="2299">
        <v>135</v>
      </c>
      <c r="W362" s="2300">
        <v>150</v>
      </c>
      <c r="X362" s="2299">
        <v>175</v>
      </c>
      <c r="Y362" s="2301" t="s">
        <v>1869</v>
      </c>
      <c r="Z362" s="2302" t="s">
        <v>1008</v>
      </c>
      <c r="AA362" s="1108"/>
      <c r="AB362" s="1108"/>
      <c r="AC362" s="1108"/>
      <c r="AD362" s="1108"/>
      <c r="AE362" s="1108"/>
      <c r="AF362" s="1108"/>
      <c r="AG362" s="1108"/>
      <c r="AH362" s="1108"/>
      <c r="AI362" s="760"/>
      <c r="AJ362" s="760"/>
      <c r="BC362" s="1935"/>
      <c r="BD362" s="1935"/>
      <c r="BE362" s="1938"/>
      <c r="BF362" s="1938"/>
      <c r="BG362" s="1938"/>
      <c r="BH362" s="1938"/>
      <c r="BI362" s="1938"/>
      <c r="BJ362" s="1938"/>
      <c r="BK362" s="1938"/>
      <c r="BL362" s="1934"/>
    </row>
    <row r="363" spans="1:67" ht="21.75" customHeight="1">
      <c r="A363" s="760"/>
      <c r="C363" s="1851" t="s">
        <v>1375</v>
      </c>
      <c r="D363" s="2017"/>
      <c r="E363" s="2289" t="s">
        <v>226</v>
      </c>
      <c r="F363" s="1842">
        <v>0</v>
      </c>
      <c r="G363" s="1843" t="s">
        <v>226</v>
      </c>
      <c r="H363" s="1842">
        <v>0</v>
      </c>
      <c r="I363" s="1843" t="s">
        <v>226</v>
      </c>
      <c r="J363" s="1842">
        <v>0</v>
      </c>
      <c r="K363" s="2290">
        <v>0</v>
      </c>
      <c r="L363" s="2291">
        <v>0</v>
      </c>
      <c r="M363" s="2626"/>
      <c r="N363" s="2627"/>
      <c r="O363" s="2627"/>
      <c r="P363" s="2627"/>
      <c r="Q363" s="2627"/>
      <c r="R363" s="2627"/>
      <c r="S363" s="2627"/>
      <c r="T363" s="2292" t="s">
        <v>1086</v>
      </c>
      <c r="U363" s="2293"/>
      <c r="V363" s="2294"/>
      <c r="W363" s="2295"/>
      <c r="X363" s="2294"/>
      <c r="Y363" s="2296"/>
      <c r="Z363" s="2293"/>
      <c r="AA363" s="1108"/>
      <c r="AB363" s="1108"/>
      <c r="AC363" s="1108"/>
      <c r="AD363" s="1108"/>
      <c r="AE363" s="1108"/>
      <c r="AF363" s="1108"/>
      <c r="AG363" s="1108"/>
      <c r="AH363" s="1108"/>
      <c r="AI363" s="760"/>
      <c r="AJ363" s="760"/>
      <c r="BC363" s="1939"/>
      <c r="BD363" s="1939"/>
      <c r="BE363" s="1936"/>
      <c r="BF363" s="1936"/>
      <c r="BG363" s="1936"/>
      <c r="BH363" s="1936"/>
      <c r="BI363" s="1936"/>
      <c r="BJ363" s="1936"/>
      <c r="BK363" s="1936"/>
      <c r="BL363" s="1934"/>
    </row>
    <row r="364" spans="1:67" ht="21.75" customHeight="1">
      <c r="A364" s="760"/>
      <c r="C364" s="1851" t="s">
        <v>1376</v>
      </c>
      <c r="D364" s="2017"/>
      <c r="E364" s="2289" t="s">
        <v>226</v>
      </c>
      <c r="F364" s="1842">
        <v>120</v>
      </c>
      <c r="G364" s="1843" t="s">
        <v>226</v>
      </c>
      <c r="H364" s="1842">
        <v>120</v>
      </c>
      <c r="I364" s="1843" t="s">
        <v>226</v>
      </c>
      <c r="J364" s="1842">
        <v>120</v>
      </c>
      <c r="K364" s="2290">
        <v>110</v>
      </c>
      <c r="L364" s="2291">
        <v>110</v>
      </c>
      <c r="M364" s="2626">
        <v>180</v>
      </c>
      <c r="N364" s="2627">
        <v>150</v>
      </c>
      <c r="O364" s="2628">
        <v>120</v>
      </c>
      <c r="P364" s="2628">
        <v>120</v>
      </c>
      <c r="Q364" s="2628">
        <v>120</v>
      </c>
      <c r="R364" s="2654" t="s">
        <v>1007</v>
      </c>
      <c r="S364" s="2655" t="s">
        <v>1008</v>
      </c>
      <c r="T364" s="2297">
        <v>270</v>
      </c>
      <c r="U364" s="2298">
        <v>225</v>
      </c>
      <c r="V364" s="2299">
        <v>160</v>
      </c>
      <c r="W364" s="2300">
        <v>180</v>
      </c>
      <c r="X364" s="2299">
        <v>205</v>
      </c>
      <c r="Y364" s="2301" t="s">
        <v>1869</v>
      </c>
      <c r="Z364" s="2302" t="s">
        <v>1008</v>
      </c>
      <c r="AA364" s="1108"/>
      <c r="AB364" s="1108"/>
      <c r="AC364" s="1108"/>
      <c r="AD364" s="1108"/>
      <c r="AE364" s="1108"/>
      <c r="AF364" s="1108"/>
      <c r="AG364" s="1108"/>
      <c r="AH364" s="1108"/>
      <c r="AI364" s="760"/>
      <c r="AJ364" s="760"/>
      <c r="BC364" s="1940"/>
      <c r="BD364" s="1940"/>
      <c r="BE364" s="1941"/>
      <c r="BF364" s="1941"/>
      <c r="BG364" s="1941"/>
      <c r="BH364" s="1941"/>
      <c r="BI364" s="1941"/>
      <c r="BJ364" s="1941"/>
      <c r="BK364" s="1941"/>
      <c r="BL364" s="1934"/>
    </row>
    <row r="365" spans="1:67" ht="21.75" customHeight="1">
      <c r="A365" s="760"/>
      <c r="C365" s="1851" t="s">
        <v>1377</v>
      </c>
      <c r="D365" s="2017"/>
      <c r="E365" s="2289" t="s">
        <v>226</v>
      </c>
      <c r="F365" s="1842">
        <v>70</v>
      </c>
      <c r="G365" s="1843" t="s">
        <v>226</v>
      </c>
      <c r="H365" s="1842">
        <v>70</v>
      </c>
      <c r="I365" s="1843" t="s">
        <v>226</v>
      </c>
      <c r="J365" s="1842">
        <v>70</v>
      </c>
      <c r="K365" s="2290">
        <v>60</v>
      </c>
      <c r="L365" s="2291">
        <v>60</v>
      </c>
      <c r="M365" s="2626">
        <v>45</v>
      </c>
      <c r="N365" s="2627">
        <v>40</v>
      </c>
      <c r="O365" s="2628">
        <v>30</v>
      </c>
      <c r="P365" s="2628">
        <v>30</v>
      </c>
      <c r="Q365" s="2628">
        <v>30</v>
      </c>
      <c r="R365" s="2654" t="s">
        <v>1007</v>
      </c>
      <c r="S365" s="2655" t="s">
        <v>1008</v>
      </c>
      <c r="T365" s="2297">
        <v>150</v>
      </c>
      <c r="U365" s="2298">
        <v>125</v>
      </c>
      <c r="V365" s="2299">
        <v>90</v>
      </c>
      <c r="W365" s="2300">
        <v>100</v>
      </c>
      <c r="X365" s="2299">
        <v>115</v>
      </c>
      <c r="Y365" s="2301" t="s">
        <v>1869</v>
      </c>
      <c r="Z365" s="2302" t="s">
        <v>1008</v>
      </c>
      <c r="AA365" s="1108"/>
      <c r="AB365" s="1108"/>
      <c r="AC365" s="1108"/>
      <c r="AD365" s="1108"/>
      <c r="AE365" s="1108"/>
      <c r="AF365" s="1108"/>
      <c r="AG365" s="1108"/>
      <c r="AH365" s="1108"/>
      <c r="AI365" s="760"/>
      <c r="AJ365" s="760"/>
      <c r="BC365" s="1940"/>
      <c r="BD365" s="1940"/>
      <c r="BE365" s="1941"/>
      <c r="BF365" s="1941"/>
      <c r="BG365" s="1941"/>
      <c r="BH365" s="1941"/>
      <c r="BI365" s="1941"/>
      <c r="BJ365" s="1941"/>
      <c r="BK365" s="1941"/>
      <c r="BL365" s="1934"/>
    </row>
    <row r="366" spans="1:67" ht="21.75" customHeight="1">
      <c r="A366" s="760"/>
      <c r="C366" s="1851" t="s">
        <v>1378</v>
      </c>
      <c r="D366" s="2017"/>
      <c r="E366" s="2289" t="s">
        <v>226</v>
      </c>
      <c r="F366" s="1842">
        <v>120</v>
      </c>
      <c r="G366" s="1843" t="s">
        <v>226</v>
      </c>
      <c r="H366" s="1842">
        <v>120</v>
      </c>
      <c r="I366" s="1843" t="s">
        <v>226</v>
      </c>
      <c r="J366" s="1842">
        <v>120</v>
      </c>
      <c r="K366" s="2290">
        <v>100</v>
      </c>
      <c r="L366" s="2291">
        <v>100</v>
      </c>
      <c r="M366" s="2626"/>
      <c r="N366" s="2627"/>
      <c r="O366" s="2627"/>
      <c r="P366" s="2627"/>
      <c r="Q366" s="2627"/>
      <c r="R366" s="2627"/>
      <c r="S366" s="2627"/>
      <c r="T366" s="2292" t="s">
        <v>1086</v>
      </c>
      <c r="U366" s="2293"/>
      <c r="V366" s="2294"/>
      <c r="W366" s="2295"/>
      <c r="X366" s="2294"/>
      <c r="Y366" s="2296"/>
      <c r="Z366" s="2293"/>
      <c r="AA366" s="1108"/>
      <c r="AB366" s="1108"/>
      <c r="AC366" s="1108"/>
      <c r="AD366" s="1108"/>
      <c r="AE366" s="1108"/>
      <c r="AF366" s="1108"/>
      <c r="AG366" s="1108"/>
      <c r="AH366" s="1108"/>
      <c r="AI366" s="760"/>
      <c r="AJ366" s="760"/>
    </row>
    <row r="367" spans="1:67" ht="21.75" customHeight="1">
      <c r="A367" s="760"/>
      <c r="C367" s="1851" t="s">
        <v>1379</v>
      </c>
      <c r="D367" s="2017"/>
      <c r="E367" s="2289" t="s">
        <v>226</v>
      </c>
      <c r="F367" s="1842">
        <v>120</v>
      </c>
      <c r="G367" s="1843" t="s">
        <v>226</v>
      </c>
      <c r="H367" s="1842">
        <v>120</v>
      </c>
      <c r="I367" s="1843" t="s">
        <v>226</v>
      </c>
      <c r="J367" s="1842">
        <v>120</v>
      </c>
      <c r="K367" s="2290">
        <v>110</v>
      </c>
      <c r="L367" s="2291">
        <v>110</v>
      </c>
      <c r="M367" s="2626">
        <v>90</v>
      </c>
      <c r="N367" s="2627">
        <v>75</v>
      </c>
      <c r="O367" s="2628">
        <v>60</v>
      </c>
      <c r="P367" s="2628">
        <v>60</v>
      </c>
      <c r="Q367" s="2628">
        <v>60</v>
      </c>
      <c r="R367" s="2654" t="s">
        <v>1007</v>
      </c>
      <c r="S367" s="2655" t="s">
        <v>1008</v>
      </c>
      <c r="T367" s="2297">
        <v>150</v>
      </c>
      <c r="U367" s="2298">
        <v>125</v>
      </c>
      <c r="V367" s="2299">
        <v>90</v>
      </c>
      <c r="W367" s="2300">
        <v>100</v>
      </c>
      <c r="X367" s="2299">
        <v>115</v>
      </c>
      <c r="Y367" s="2301" t="s">
        <v>1869</v>
      </c>
      <c r="Z367" s="2302" t="s">
        <v>1008</v>
      </c>
      <c r="AA367" s="1108"/>
      <c r="AB367" s="1108"/>
      <c r="AC367" s="1108"/>
      <c r="AD367" s="1108"/>
      <c r="AE367" s="1108"/>
      <c r="AF367" s="1108"/>
      <c r="AG367" s="1108"/>
      <c r="AH367" s="1108"/>
      <c r="AI367" s="760"/>
      <c r="AJ367" s="760"/>
    </row>
    <row r="368" spans="1:67" ht="21.75" customHeight="1">
      <c r="A368" s="760"/>
      <c r="C368" s="1851" t="s">
        <v>1380</v>
      </c>
      <c r="D368" s="2017"/>
      <c r="E368" s="2289" t="s">
        <v>226</v>
      </c>
      <c r="F368" s="1842">
        <v>100</v>
      </c>
      <c r="G368" s="1843" t="s">
        <v>226</v>
      </c>
      <c r="H368" s="1842">
        <v>100</v>
      </c>
      <c r="I368" s="1843" t="s">
        <v>226</v>
      </c>
      <c r="J368" s="1842">
        <v>100</v>
      </c>
      <c r="K368" s="2290">
        <v>80</v>
      </c>
      <c r="L368" s="2291">
        <v>80</v>
      </c>
      <c r="M368" s="2626">
        <v>90</v>
      </c>
      <c r="N368" s="2627">
        <v>75</v>
      </c>
      <c r="O368" s="2628">
        <v>60</v>
      </c>
      <c r="P368" s="2628">
        <v>60</v>
      </c>
      <c r="Q368" s="2628">
        <v>60</v>
      </c>
      <c r="R368" s="2654" t="s">
        <v>1007</v>
      </c>
      <c r="S368" s="2655" t="s">
        <v>1008</v>
      </c>
      <c r="T368" s="2297">
        <v>180</v>
      </c>
      <c r="U368" s="2298">
        <v>150</v>
      </c>
      <c r="V368" s="2299">
        <v>110</v>
      </c>
      <c r="W368" s="2300">
        <v>120</v>
      </c>
      <c r="X368" s="2299">
        <v>140</v>
      </c>
      <c r="Y368" s="2301" t="s">
        <v>1869</v>
      </c>
      <c r="Z368" s="2302" t="s">
        <v>1008</v>
      </c>
      <c r="AA368" s="1108"/>
      <c r="AB368" s="1108"/>
      <c r="AC368" s="1108"/>
      <c r="AD368" s="1108"/>
      <c r="AE368" s="1108"/>
      <c r="AF368" s="1108"/>
      <c r="AG368" s="1108"/>
      <c r="AH368" s="1108"/>
      <c r="AI368" s="760"/>
      <c r="AJ368" s="760"/>
    </row>
    <row r="369" spans="1:36" ht="21.75" customHeight="1">
      <c r="A369" s="760"/>
      <c r="C369" s="1851" t="s">
        <v>1381</v>
      </c>
      <c r="D369" s="2017"/>
      <c r="E369" s="2289" t="s">
        <v>226</v>
      </c>
      <c r="F369" s="1842">
        <v>80</v>
      </c>
      <c r="G369" s="1843" t="s">
        <v>226</v>
      </c>
      <c r="H369" s="1842">
        <v>80</v>
      </c>
      <c r="I369" s="1843" t="s">
        <v>226</v>
      </c>
      <c r="J369" s="1842">
        <v>80</v>
      </c>
      <c r="K369" s="2290">
        <v>70</v>
      </c>
      <c r="L369" s="2291">
        <v>70</v>
      </c>
      <c r="M369" s="2626">
        <v>75</v>
      </c>
      <c r="N369" s="2627">
        <v>65</v>
      </c>
      <c r="O369" s="2628">
        <v>50</v>
      </c>
      <c r="P369" s="2628">
        <v>50</v>
      </c>
      <c r="Q369" s="2628">
        <v>50</v>
      </c>
      <c r="R369" s="2654" t="s">
        <v>1007</v>
      </c>
      <c r="S369" s="2655" t="s">
        <v>1008</v>
      </c>
      <c r="T369" s="2297">
        <v>180</v>
      </c>
      <c r="U369" s="2298">
        <v>150</v>
      </c>
      <c r="V369" s="2299">
        <v>110</v>
      </c>
      <c r="W369" s="2300">
        <v>120</v>
      </c>
      <c r="X369" s="2299">
        <v>140</v>
      </c>
      <c r="Y369" s="2301" t="s">
        <v>1869</v>
      </c>
      <c r="Z369" s="2302" t="s">
        <v>1008</v>
      </c>
      <c r="AA369" s="1108"/>
      <c r="AB369" s="1108"/>
      <c r="AC369" s="1108"/>
      <c r="AD369" s="1108"/>
      <c r="AE369" s="1108"/>
      <c r="AF369" s="1108"/>
      <c r="AG369" s="1108"/>
      <c r="AH369" s="1108"/>
      <c r="AI369" s="760"/>
      <c r="AJ369" s="760"/>
    </row>
    <row r="370" spans="1:36" ht="21.75" customHeight="1">
      <c r="A370" s="760"/>
      <c r="C370" s="1851" t="s">
        <v>1382</v>
      </c>
      <c r="D370" s="2017"/>
      <c r="E370" s="2289" t="s">
        <v>226</v>
      </c>
      <c r="F370" s="1842">
        <v>50</v>
      </c>
      <c r="G370" s="1843" t="s">
        <v>226</v>
      </c>
      <c r="H370" s="1842">
        <v>50</v>
      </c>
      <c r="I370" s="1843" t="s">
        <v>226</v>
      </c>
      <c r="J370" s="1842">
        <v>50</v>
      </c>
      <c r="K370" s="2290">
        <v>40</v>
      </c>
      <c r="L370" s="2291">
        <v>40</v>
      </c>
      <c r="M370" s="2626">
        <v>90</v>
      </c>
      <c r="N370" s="2627">
        <v>75</v>
      </c>
      <c r="O370" s="2628">
        <v>60</v>
      </c>
      <c r="P370" s="2628">
        <v>60</v>
      </c>
      <c r="Q370" s="2628">
        <v>60</v>
      </c>
      <c r="R370" s="2654" t="s">
        <v>1007</v>
      </c>
      <c r="S370" s="2655" t="s">
        <v>1008</v>
      </c>
      <c r="T370" s="2297">
        <v>120</v>
      </c>
      <c r="U370" s="2298">
        <v>100</v>
      </c>
      <c r="V370" s="2299">
        <v>70</v>
      </c>
      <c r="W370" s="2300">
        <v>80</v>
      </c>
      <c r="X370" s="2299">
        <v>90</v>
      </c>
      <c r="Y370" s="2301" t="s">
        <v>1869</v>
      </c>
      <c r="Z370" s="2302" t="s">
        <v>1008</v>
      </c>
      <c r="AA370" s="1108"/>
      <c r="AB370" s="1108"/>
      <c r="AC370" s="1108"/>
      <c r="AD370" s="1108"/>
      <c r="AE370" s="1108"/>
      <c r="AF370" s="1108"/>
      <c r="AG370" s="1108"/>
      <c r="AH370" s="1108"/>
      <c r="AI370" s="760"/>
      <c r="AJ370" s="760"/>
    </row>
    <row r="371" spans="1:36" ht="21.75" customHeight="1" thickBot="1">
      <c r="A371" s="760"/>
      <c r="C371" s="2303" t="s">
        <v>1383</v>
      </c>
      <c r="D371" s="2304"/>
      <c r="E371" s="2305" t="s">
        <v>226</v>
      </c>
      <c r="F371" s="2306">
        <v>200</v>
      </c>
      <c r="G371" s="2307" t="s">
        <v>226</v>
      </c>
      <c r="H371" s="2306">
        <v>200</v>
      </c>
      <c r="I371" s="2307" t="s">
        <v>226</v>
      </c>
      <c r="J371" s="2306">
        <v>200</v>
      </c>
      <c r="K371" s="2308">
        <v>170</v>
      </c>
      <c r="L371" s="2309">
        <v>170</v>
      </c>
      <c r="M371" s="2630">
        <v>135</v>
      </c>
      <c r="N371" s="2631">
        <v>115</v>
      </c>
      <c r="O371" s="2632">
        <v>90</v>
      </c>
      <c r="P371" s="2632">
        <v>90</v>
      </c>
      <c r="Q371" s="2632">
        <v>90</v>
      </c>
      <c r="R371" s="2656" t="s">
        <v>1007</v>
      </c>
      <c r="S371" s="2651" t="s">
        <v>1008</v>
      </c>
      <c r="T371" s="2310">
        <v>210</v>
      </c>
      <c r="U371" s="2311">
        <v>175</v>
      </c>
      <c r="V371" s="2312">
        <v>125</v>
      </c>
      <c r="W371" s="2313">
        <v>140</v>
      </c>
      <c r="X371" s="2312">
        <v>160</v>
      </c>
      <c r="Y371" s="2314" t="s">
        <v>1869</v>
      </c>
      <c r="Z371" s="2315" t="s">
        <v>1008</v>
      </c>
      <c r="AA371" s="1108"/>
      <c r="AB371" s="1108"/>
      <c r="AC371" s="1108"/>
      <c r="AD371" s="1108"/>
      <c r="AE371" s="1108"/>
      <c r="AF371" s="1108"/>
      <c r="AG371" s="1108"/>
      <c r="AH371" s="1108"/>
      <c r="AI371" s="760"/>
      <c r="AJ371" s="760"/>
    </row>
    <row r="372" spans="1:36" ht="21.75" customHeight="1" thickBot="1">
      <c r="A372" s="760"/>
      <c r="C372" s="1108"/>
      <c r="D372" s="1108"/>
      <c r="E372" s="1108"/>
      <c r="F372" s="1108"/>
      <c r="G372" s="1108"/>
      <c r="H372" s="1108"/>
      <c r="I372" s="1108"/>
      <c r="J372" s="1108"/>
      <c r="K372" s="1108"/>
      <c r="L372" s="1108"/>
      <c r="M372" s="1108"/>
      <c r="N372" s="1108"/>
      <c r="O372" s="1108"/>
      <c r="P372" s="1108"/>
      <c r="Q372" s="1108"/>
      <c r="R372" s="1108"/>
      <c r="S372" s="1108"/>
      <c r="T372" s="1108"/>
      <c r="U372" s="1108"/>
      <c r="V372" s="1108"/>
      <c r="W372" s="1108"/>
      <c r="X372" s="1108"/>
      <c r="Y372" s="1108"/>
      <c r="Z372" s="1108"/>
      <c r="AA372" s="1108"/>
      <c r="AB372" s="1108"/>
      <c r="AC372" s="1108"/>
      <c r="AD372" s="1108"/>
      <c r="AE372" s="1108"/>
      <c r="AF372" s="1108"/>
      <c r="AG372" s="1108"/>
      <c r="AH372" s="1108"/>
      <c r="AI372" s="760"/>
      <c r="AJ372" s="760"/>
    </row>
    <row r="373" spans="1:36" ht="21.75" customHeight="1" thickBot="1">
      <c r="A373" s="760"/>
      <c r="C373" s="2208" t="s">
        <v>1384</v>
      </c>
      <c r="D373" s="2209"/>
      <c r="E373" s="2873" t="s">
        <v>910</v>
      </c>
      <c r="F373" s="2873"/>
      <c r="G373" s="2874" t="s">
        <v>120</v>
      </c>
      <c r="H373" s="2874"/>
      <c r="I373" s="2875" t="s">
        <v>983</v>
      </c>
      <c r="J373" s="2875"/>
      <c r="K373" s="1444" t="s">
        <v>120</v>
      </c>
      <c r="L373" s="1445" t="s">
        <v>983</v>
      </c>
      <c r="M373" s="2675" t="s">
        <v>990</v>
      </c>
      <c r="N373" s="2675" t="s">
        <v>991</v>
      </c>
      <c r="O373" s="2676" t="s">
        <v>910</v>
      </c>
      <c r="P373" s="2677" t="s">
        <v>120</v>
      </c>
      <c r="Q373" s="2678" t="s">
        <v>983</v>
      </c>
      <c r="R373" s="2679" t="s">
        <v>993</v>
      </c>
      <c r="S373" s="2680" t="s">
        <v>994</v>
      </c>
      <c r="T373" s="2210" t="s">
        <v>990</v>
      </c>
      <c r="U373" s="1846" t="s">
        <v>991</v>
      </c>
      <c r="V373" s="2211" t="s">
        <v>910</v>
      </c>
      <c r="W373" s="2212" t="s">
        <v>120</v>
      </c>
      <c r="X373" s="2213" t="s">
        <v>983</v>
      </c>
      <c r="Y373" s="1844" t="s">
        <v>993</v>
      </c>
      <c r="Z373" s="1845" t="s">
        <v>994</v>
      </c>
      <c r="AA373" s="1108"/>
      <c r="AB373" s="1108"/>
      <c r="AC373" s="1108"/>
      <c r="AD373" s="1108"/>
      <c r="AE373" s="1108"/>
      <c r="AF373" s="1108"/>
      <c r="AG373" s="1108"/>
      <c r="AH373" s="1108"/>
      <c r="AI373" s="760"/>
      <c r="AJ373" s="760"/>
    </row>
    <row r="374" spans="1:36" ht="21.75" customHeight="1">
      <c r="A374" s="760"/>
      <c r="C374" s="2234" t="s">
        <v>2047</v>
      </c>
      <c r="D374" s="2235"/>
      <c r="E374" s="2236" t="s">
        <v>226</v>
      </c>
      <c r="F374" s="2237">
        <v>5</v>
      </c>
      <c r="G374" s="2238" t="s">
        <v>226</v>
      </c>
      <c r="H374" s="2237">
        <v>5</v>
      </c>
      <c r="I374" s="2238" t="s">
        <v>226</v>
      </c>
      <c r="J374" s="2239">
        <v>5</v>
      </c>
      <c r="K374" s="2240"/>
      <c r="L374" s="2241"/>
      <c r="M374" s="2657">
        <v>10</v>
      </c>
      <c r="N374" s="2658">
        <v>5</v>
      </c>
      <c r="O374" s="2659">
        <v>5</v>
      </c>
      <c r="P374" s="2659">
        <v>5</v>
      </c>
      <c r="Q374" s="2659">
        <v>5</v>
      </c>
      <c r="R374" s="2659">
        <v>5</v>
      </c>
      <c r="S374" s="2660" t="s">
        <v>226</v>
      </c>
      <c r="T374" s="2242">
        <v>10</v>
      </c>
      <c r="U374" s="2243">
        <v>5</v>
      </c>
      <c r="V374" s="2244">
        <v>5</v>
      </c>
      <c r="W374" s="2245">
        <v>5</v>
      </c>
      <c r="X374" s="2244">
        <v>5</v>
      </c>
      <c r="Y374" s="2246">
        <v>5</v>
      </c>
      <c r="Z374" s="2247" t="s">
        <v>226</v>
      </c>
      <c r="AA374" s="1108"/>
      <c r="AB374" s="1108"/>
      <c r="AC374" s="1108"/>
      <c r="AD374" s="1108"/>
      <c r="AE374" s="1108"/>
      <c r="AF374" s="1108"/>
      <c r="AG374" s="1108"/>
      <c r="AH374" s="1108"/>
      <c r="AI374" s="760"/>
      <c r="AJ374" s="760"/>
    </row>
    <row r="375" spans="1:36" ht="21.75" customHeight="1">
      <c r="A375" s="760"/>
      <c r="C375" s="2248" t="s">
        <v>2048</v>
      </c>
      <c r="D375" s="2249"/>
      <c r="E375" s="2250" t="s">
        <v>226</v>
      </c>
      <c r="F375" s="2251">
        <v>10</v>
      </c>
      <c r="G375" s="2207" t="s">
        <v>226</v>
      </c>
      <c r="H375" s="2251">
        <v>10</v>
      </c>
      <c r="I375" s="2207" t="s">
        <v>226</v>
      </c>
      <c r="J375" s="2252">
        <v>10</v>
      </c>
      <c r="K375" s="2253"/>
      <c r="L375" s="2254"/>
      <c r="M375" s="2661">
        <v>10</v>
      </c>
      <c r="N375" s="2662">
        <v>5</v>
      </c>
      <c r="O375" s="2663">
        <v>5</v>
      </c>
      <c r="P375" s="2663">
        <v>5</v>
      </c>
      <c r="Q375" s="2663">
        <v>5</v>
      </c>
      <c r="R375" s="2663">
        <v>5</v>
      </c>
      <c r="S375" s="2664" t="s">
        <v>226</v>
      </c>
      <c r="T375" s="2255">
        <v>15</v>
      </c>
      <c r="U375" s="2256">
        <v>10</v>
      </c>
      <c r="V375" s="2257">
        <v>10</v>
      </c>
      <c r="W375" s="2258">
        <v>10</v>
      </c>
      <c r="X375" s="2257">
        <v>10</v>
      </c>
      <c r="Y375" s="2259">
        <v>5</v>
      </c>
      <c r="Z375" s="2260" t="s">
        <v>226</v>
      </c>
      <c r="AA375" s="1108"/>
      <c r="AB375" s="1108"/>
      <c r="AC375" s="1108"/>
      <c r="AD375" s="1108"/>
      <c r="AE375" s="1108"/>
      <c r="AF375" s="1108"/>
      <c r="AG375" s="1108"/>
      <c r="AH375" s="1108"/>
      <c r="AI375" s="760"/>
      <c r="AJ375" s="760"/>
    </row>
    <row r="376" spans="1:36" ht="21.75" customHeight="1">
      <c r="A376" s="760"/>
      <c r="C376" s="2248" t="s">
        <v>2049</v>
      </c>
      <c r="D376" s="2249"/>
      <c r="E376" s="2250" t="s">
        <v>226</v>
      </c>
      <c r="F376" s="2251">
        <v>20</v>
      </c>
      <c r="G376" s="2207" t="s">
        <v>226</v>
      </c>
      <c r="H376" s="2251">
        <v>20</v>
      </c>
      <c r="I376" s="2207" t="s">
        <v>226</v>
      </c>
      <c r="J376" s="2252">
        <v>20</v>
      </c>
      <c r="K376" s="2253"/>
      <c r="L376" s="2254"/>
      <c r="M376" s="2661">
        <v>15</v>
      </c>
      <c r="N376" s="2662">
        <v>15</v>
      </c>
      <c r="O376" s="2663">
        <v>10</v>
      </c>
      <c r="P376" s="2663">
        <v>10</v>
      </c>
      <c r="Q376" s="2663">
        <v>10</v>
      </c>
      <c r="R376" s="2663">
        <v>5</v>
      </c>
      <c r="S376" s="2664" t="s">
        <v>226</v>
      </c>
      <c r="T376" s="2255">
        <v>25</v>
      </c>
      <c r="U376" s="2256">
        <v>20</v>
      </c>
      <c r="V376" s="2257">
        <v>15</v>
      </c>
      <c r="W376" s="2258">
        <v>15</v>
      </c>
      <c r="X376" s="2257">
        <v>15</v>
      </c>
      <c r="Y376" s="2259">
        <v>10</v>
      </c>
      <c r="Z376" s="2260" t="s">
        <v>226</v>
      </c>
      <c r="AA376" s="1108"/>
      <c r="AB376" s="1108"/>
      <c r="AC376" s="1108"/>
      <c r="AD376" s="1108"/>
      <c r="AE376" s="1108"/>
      <c r="AF376" s="1108"/>
      <c r="AG376" s="1108"/>
      <c r="AH376" s="1108"/>
      <c r="AI376" s="760"/>
      <c r="AJ376" s="760"/>
    </row>
    <row r="377" spans="1:36" ht="21.75" customHeight="1">
      <c r="A377" s="760"/>
      <c r="C377" s="2248" t="s">
        <v>2050</v>
      </c>
      <c r="D377" s="2249"/>
      <c r="E377" s="2250" t="s">
        <v>226</v>
      </c>
      <c r="F377" s="2207">
        <v>30</v>
      </c>
      <c r="G377" s="2207" t="s">
        <v>226</v>
      </c>
      <c r="H377" s="2207">
        <v>30</v>
      </c>
      <c r="I377" s="2207" t="s">
        <v>226</v>
      </c>
      <c r="J377" s="2215">
        <v>30</v>
      </c>
      <c r="K377" s="2253"/>
      <c r="L377" s="2254"/>
      <c r="M377" s="2661">
        <v>15</v>
      </c>
      <c r="N377" s="2662">
        <v>15</v>
      </c>
      <c r="O377" s="2663">
        <v>10</v>
      </c>
      <c r="P377" s="2663">
        <v>10</v>
      </c>
      <c r="Q377" s="2663">
        <v>10</v>
      </c>
      <c r="R377" s="2663">
        <v>5</v>
      </c>
      <c r="S377" s="2664" t="s">
        <v>226</v>
      </c>
      <c r="T377" s="2255">
        <v>30</v>
      </c>
      <c r="U377" s="2256">
        <v>25</v>
      </c>
      <c r="V377" s="2257">
        <v>20</v>
      </c>
      <c r="W377" s="2258">
        <v>20</v>
      </c>
      <c r="X377" s="2257">
        <v>20</v>
      </c>
      <c r="Y377" s="2259">
        <v>10</v>
      </c>
      <c r="Z377" s="2260" t="s">
        <v>226</v>
      </c>
      <c r="AA377" s="1108"/>
      <c r="AB377" s="1108"/>
      <c r="AC377" s="1108"/>
      <c r="AD377" s="1108"/>
      <c r="AE377" s="1108"/>
      <c r="AF377" s="1108"/>
      <c r="AG377" s="1108"/>
      <c r="AH377" s="1108"/>
      <c r="AI377" s="760"/>
      <c r="AJ377" s="760"/>
    </row>
    <row r="378" spans="1:36" ht="21.75" customHeight="1">
      <c r="A378" s="760"/>
      <c r="C378" s="2248" t="s">
        <v>2051</v>
      </c>
      <c r="D378" s="2249"/>
      <c r="E378" s="2250" t="s">
        <v>226</v>
      </c>
      <c r="F378" s="2207">
        <v>50</v>
      </c>
      <c r="G378" s="2207" t="s">
        <v>226</v>
      </c>
      <c r="H378" s="2207">
        <v>50</v>
      </c>
      <c r="I378" s="2207" t="s">
        <v>226</v>
      </c>
      <c r="J378" s="2215">
        <v>50</v>
      </c>
      <c r="K378" s="2253"/>
      <c r="L378" s="2254"/>
      <c r="M378" s="2661">
        <v>30</v>
      </c>
      <c r="N378" s="2662">
        <v>25</v>
      </c>
      <c r="O378" s="2663">
        <v>20</v>
      </c>
      <c r="P378" s="2663">
        <v>20</v>
      </c>
      <c r="Q378" s="2663">
        <v>20</v>
      </c>
      <c r="R378" s="2663">
        <v>10</v>
      </c>
      <c r="S378" s="2664" t="s">
        <v>226</v>
      </c>
      <c r="T378" s="2255">
        <v>45</v>
      </c>
      <c r="U378" s="2256">
        <v>40</v>
      </c>
      <c r="V378" s="2257">
        <v>30</v>
      </c>
      <c r="W378" s="2258">
        <v>30</v>
      </c>
      <c r="X378" s="2257">
        <v>30</v>
      </c>
      <c r="Y378" s="2259">
        <v>15</v>
      </c>
      <c r="Z378" s="2260" t="s">
        <v>226</v>
      </c>
      <c r="AA378" s="1108"/>
      <c r="AB378" s="1108"/>
      <c r="AC378" s="1108"/>
      <c r="AD378" s="1108"/>
      <c r="AE378" s="1108"/>
      <c r="AF378" s="1108"/>
      <c r="AG378" s="1108"/>
      <c r="AH378" s="1108"/>
      <c r="AI378" s="760"/>
      <c r="AJ378" s="760"/>
    </row>
    <row r="379" spans="1:36" ht="21.75" customHeight="1">
      <c r="A379" s="760"/>
      <c r="C379" s="2248" t="s">
        <v>2052</v>
      </c>
      <c r="D379" s="2249"/>
      <c r="E379" s="2250" t="s">
        <v>226</v>
      </c>
      <c r="F379" s="2207">
        <v>70</v>
      </c>
      <c r="G379" s="2207" t="s">
        <v>226</v>
      </c>
      <c r="H379" s="2207">
        <v>70</v>
      </c>
      <c r="I379" s="2207" t="s">
        <v>226</v>
      </c>
      <c r="J379" s="2215">
        <v>70</v>
      </c>
      <c r="K379" s="2253"/>
      <c r="L379" s="2254"/>
      <c r="M379" s="2661">
        <v>30</v>
      </c>
      <c r="N379" s="2662">
        <v>25</v>
      </c>
      <c r="O379" s="2663">
        <v>20</v>
      </c>
      <c r="P379" s="2663">
        <v>20</v>
      </c>
      <c r="Q379" s="2663">
        <v>20</v>
      </c>
      <c r="R379" s="2663">
        <v>10</v>
      </c>
      <c r="S379" s="2664" t="s">
        <v>226</v>
      </c>
      <c r="T379" s="2255">
        <v>60</v>
      </c>
      <c r="U379" s="2256">
        <v>50</v>
      </c>
      <c r="V379" s="2257">
        <v>40</v>
      </c>
      <c r="W379" s="2258">
        <v>40</v>
      </c>
      <c r="X379" s="2257">
        <v>40</v>
      </c>
      <c r="Y379" s="2259">
        <v>20</v>
      </c>
      <c r="Z379" s="2260" t="s">
        <v>226</v>
      </c>
      <c r="AA379" s="1108"/>
      <c r="AB379" s="1108"/>
      <c r="AC379" s="1108"/>
      <c r="AD379" s="1108"/>
      <c r="AE379" s="1108"/>
      <c r="AF379" s="1108"/>
      <c r="AG379" s="1108"/>
      <c r="AH379" s="1108"/>
      <c r="AI379" s="760"/>
      <c r="AJ379" s="760"/>
    </row>
    <row r="380" spans="1:36" ht="21.75" customHeight="1">
      <c r="A380" s="760"/>
      <c r="C380" s="2248" t="s">
        <v>2053</v>
      </c>
      <c r="D380" s="2249"/>
      <c r="E380" s="2250" t="s">
        <v>226</v>
      </c>
      <c r="F380" s="2207">
        <v>80</v>
      </c>
      <c r="G380" s="2207" t="s">
        <v>226</v>
      </c>
      <c r="H380" s="2207">
        <v>80</v>
      </c>
      <c r="I380" s="2207" t="s">
        <v>226</v>
      </c>
      <c r="J380" s="2215">
        <v>80</v>
      </c>
      <c r="K380" s="2253"/>
      <c r="L380" s="2254"/>
      <c r="M380" s="2661">
        <v>45</v>
      </c>
      <c r="N380" s="2662">
        <v>40</v>
      </c>
      <c r="O380" s="2663">
        <v>30</v>
      </c>
      <c r="P380" s="2663">
        <v>30</v>
      </c>
      <c r="Q380" s="2663">
        <v>30</v>
      </c>
      <c r="R380" s="2663">
        <v>15</v>
      </c>
      <c r="S380" s="2664" t="s">
        <v>226</v>
      </c>
      <c r="T380" s="2255">
        <v>75</v>
      </c>
      <c r="U380" s="2256">
        <v>65</v>
      </c>
      <c r="V380" s="2257">
        <v>50</v>
      </c>
      <c r="W380" s="2258">
        <v>50</v>
      </c>
      <c r="X380" s="2257">
        <v>50</v>
      </c>
      <c r="Y380" s="2259">
        <v>25</v>
      </c>
      <c r="Z380" s="2260" t="s">
        <v>226</v>
      </c>
      <c r="AA380" s="1108"/>
      <c r="AB380" s="1108"/>
      <c r="AC380" s="1108"/>
      <c r="AD380" s="1108"/>
      <c r="AE380" s="1108"/>
      <c r="AF380" s="1108"/>
      <c r="AG380" s="1108"/>
      <c r="AH380" s="1108"/>
      <c r="AI380" s="760"/>
      <c r="AJ380" s="760"/>
    </row>
    <row r="381" spans="1:36" ht="21.75" customHeight="1">
      <c r="A381" s="760"/>
      <c r="C381" s="2248" t="s">
        <v>2054</v>
      </c>
      <c r="D381" s="2249"/>
      <c r="E381" s="2250" t="s">
        <v>226</v>
      </c>
      <c r="F381" s="2207">
        <v>100</v>
      </c>
      <c r="G381" s="2207" t="s">
        <v>226</v>
      </c>
      <c r="H381" s="2207">
        <v>100</v>
      </c>
      <c r="I381" s="2207" t="s">
        <v>226</v>
      </c>
      <c r="J381" s="2215">
        <v>100</v>
      </c>
      <c r="K381" s="2253"/>
      <c r="L381" s="2254"/>
      <c r="M381" s="2661">
        <v>45</v>
      </c>
      <c r="N381" s="2662">
        <v>40</v>
      </c>
      <c r="O381" s="2663">
        <v>30</v>
      </c>
      <c r="P381" s="2663">
        <v>30</v>
      </c>
      <c r="Q381" s="2663">
        <v>30</v>
      </c>
      <c r="R381" s="2663">
        <v>15</v>
      </c>
      <c r="S381" s="2664" t="s">
        <v>226</v>
      </c>
      <c r="T381" s="2255">
        <v>90</v>
      </c>
      <c r="U381" s="2256">
        <v>75</v>
      </c>
      <c r="V381" s="2257">
        <v>60</v>
      </c>
      <c r="W381" s="2258">
        <v>60</v>
      </c>
      <c r="X381" s="2257">
        <v>60</v>
      </c>
      <c r="Y381" s="2259">
        <v>30</v>
      </c>
      <c r="Z381" s="2260" t="s">
        <v>226</v>
      </c>
      <c r="AA381" s="1108"/>
      <c r="AB381" s="1108"/>
      <c r="AC381" s="1108"/>
      <c r="AD381" s="1108"/>
      <c r="AE381" s="1108"/>
      <c r="AF381" s="1108"/>
      <c r="AG381" s="1108"/>
      <c r="AH381" s="1108"/>
      <c r="AI381" s="760"/>
      <c r="AJ381" s="760"/>
    </row>
    <row r="382" spans="1:36" ht="21.75" customHeight="1">
      <c r="A382" s="760"/>
      <c r="C382" s="2248" t="s">
        <v>2055</v>
      </c>
      <c r="D382" s="2249"/>
      <c r="E382" s="2250" t="s">
        <v>226</v>
      </c>
      <c r="F382" s="2207">
        <v>140</v>
      </c>
      <c r="G382" s="2207" t="s">
        <v>226</v>
      </c>
      <c r="H382" s="2207">
        <v>140</v>
      </c>
      <c r="I382" s="2207" t="s">
        <v>226</v>
      </c>
      <c r="J382" s="2215">
        <v>140</v>
      </c>
      <c r="K382" s="2253"/>
      <c r="L382" s="2254"/>
      <c r="M382" s="2661">
        <v>75</v>
      </c>
      <c r="N382" s="2662">
        <v>65</v>
      </c>
      <c r="O382" s="2663">
        <v>50</v>
      </c>
      <c r="P382" s="2663">
        <v>50</v>
      </c>
      <c r="Q382" s="2663">
        <v>50</v>
      </c>
      <c r="R382" s="2663">
        <v>25</v>
      </c>
      <c r="S382" s="2664" t="s">
        <v>226</v>
      </c>
      <c r="T382" s="2255">
        <v>135</v>
      </c>
      <c r="U382" s="2256">
        <v>115</v>
      </c>
      <c r="V382" s="2257">
        <v>90</v>
      </c>
      <c r="W382" s="2258">
        <v>90</v>
      </c>
      <c r="X382" s="2257">
        <v>90</v>
      </c>
      <c r="Y382" s="2259">
        <v>45</v>
      </c>
      <c r="Z382" s="2260" t="s">
        <v>226</v>
      </c>
      <c r="AA382" s="1108"/>
      <c r="AB382" s="1108"/>
      <c r="AC382" s="1108"/>
      <c r="AD382" s="1108"/>
      <c r="AE382" s="1108"/>
      <c r="AF382" s="1108"/>
      <c r="AG382" s="1108"/>
      <c r="AH382" s="1108"/>
      <c r="AI382" s="760"/>
      <c r="AJ382" s="760"/>
    </row>
    <row r="383" spans="1:36" ht="21.75" customHeight="1">
      <c r="A383" s="760"/>
      <c r="C383" s="2248" t="s">
        <v>2056</v>
      </c>
      <c r="D383" s="2249"/>
      <c r="E383" s="2250" t="s">
        <v>226</v>
      </c>
      <c r="F383" s="2207">
        <v>150</v>
      </c>
      <c r="G383" s="2207" t="s">
        <v>226</v>
      </c>
      <c r="H383" s="2207">
        <v>150</v>
      </c>
      <c r="I383" s="2207" t="s">
        <v>226</v>
      </c>
      <c r="J383" s="2215">
        <v>150</v>
      </c>
      <c r="K383" s="2253"/>
      <c r="L383" s="2254"/>
      <c r="M383" s="2661">
        <v>75</v>
      </c>
      <c r="N383" s="2662">
        <v>65</v>
      </c>
      <c r="O383" s="2663">
        <v>50</v>
      </c>
      <c r="P383" s="2663">
        <v>50</v>
      </c>
      <c r="Q383" s="2663">
        <v>50</v>
      </c>
      <c r="R383" s="2663">
        <v>25</v>
      </c>
      <c r="S383" s="2664" t="s">
        <v>226</v>
      </c>
      <c r="T383" s="2255">
        <v>150</v>
      </c>
      <c r="U383" s="2256">
        <v>125</v>
      </c>
      <c r="V383" s="2257">
        <v>100</v>
      </c>
      <c r="W383" s="2258">
        <v>100</v>
      </c>
      <c r="X383" s="2257">
        <v>100</v>
      </c>
      <c r="Y383" s="2259">
        <v>50</v>
      </c>
      <c r="Z383" s="2260" t="s">
        <v>226</v>
      </c>
      <c r="AA383" s="1108"/>
      <c r="AB383" s="1108"/>
      <c r="AC383" s="1108"/>
      <c r="AD383" s="1108"/>
      <c r="AE383" s="1108"/>
      <c r="AF383" s="1108"/>
      <c r="AG383" s="1108"/>
      <c r="AH383" s="1108"/>
      <c r="AI383" s="760"/>
      <c r="AJ383" s="760"/>
    </row>
    <row r="384" spans="1:36" ht="21.75" customHeight="1">
      <c r="A384" s="760"/>
      <c r="C384" s="2248" t="s">
        <v>2057</v>
      </c>
      <c r="D384" s="2249"/>
      <c r="E384" s="2250" t="s">
        <v>226</v>
      </c>
      <c r="F384" s="2207">
        <v>175</v>
      </c>
      <c r="G384" s="2207" t="s">
        <v>226</v>
      </c>
      <c r="H384" s="2207">
        <v>175</v>
      </c>
      <c r="I384" s="2207" t="s">
        <v>226</v>
      </c>
      <c r="J384" s="2215">
        <v>175</v>
      </c>
      <c r="K384" s="2253"/>
      <c r="L384" s="2254"/>
      <c r="M384" s="2661">
        <v>90</v>
      </c>
      <c r="N384" s="2662">
        <v>75</v>
      </c>
      <c r="O384" s="2663">
        <v>60</v>
      </c>
      <c r="P384" s="2663">
        <v>60</v>
      </c>
      <c r="Q384" s="2663">
        <v>60</v>
      </c>
      <c r="R384" s="2663">
        <v>30</v>
      </c>
      <c r="S384" s="2664" t="s">
        <v>226</v>
      </c>
      <c r="T384" s="2255">
        <v>180</v>
      </c>
      <c r="U384" s="2256">
        <v>150</v>
      </c>
      <c r="V384" s="2257">
        <v>120</v>
      </c>
      <c r="W384" s="2258">
        <v>120</v>
      </c>
      <c r="X384" s="2257">
        <v>120</v>
      </c>
      <c r="Y384" s="2259">
        <v>60</v>
      </c>
      <c r="Z384" s="2260" t="s">
        <v>226</v>
      </c>
      <c r="AA384" s="1108"/>
      <c r="AB384" s="1108"/>
      <c r="AC384" s="1108"/>
      <c r="AD384" s="1108"/>
      <c r="AE384" s="1108"/>
      <c r="AF384" s="1108"/>
      <c r="AG384" s="1108"/>
      <c r="AH384" s="1108"/>
      <c r="AI384" s="760"/>
      <c r="AJ384" s="760"/>
    </row>
    <row r="385" spans="1:36" ht="21.75" customHeight="1">
      <c r="A385" s="760"/>
      <c r="C385" s="2248" t="s">
        <v>2058</v>
      </c>
      <c r="D385" s="2249"/>
      <c r="E385" s="2250" t="s">
        <v>226</v>
      </c>
      <c r="F385" s="2207">
        <v>25</v>
      </c>
      <c r="G385" s="2207" t="s">
        <v>226</v>
      </c>
      <c r="H385" s="2207">
        <v>25</v>
      </c>
      <c r="I385" s="2207" t="s">
        <v>226</v>
      </c>
      <c r="J385" s="2215">
        <v>25</v>
      </c>
      <c r="K385" s="2253"/>
      <c r="L385" s="2254"/>
      <c r="M385" s="2661">
        <v>10</v>
      </c>
      <c r="N385" s="2662">
        <v>10</v>
      </c>
      <c r="O385" s="2663">
        <v>10</v>
      </c>
      <c r="P385" s="2663">
        <v>10</v>
      </c>
      <c r="Q385" s="2663">
        <v>10</v>
      </c>
      <c r="R385" s="2663">
        <v>5</v>
      </c>
      <c r="S385" s="2664" t="s">
        <v>226</v>
      </c>
      <c r="T385" s="2255">
        <v>25</v>
      </c>
      <c r="U385" s="2256">
        <v>20</v>
      </c>
      <c r="V385" s="2257">
        <v>15</v>
      </c>
      <c r="W385" s="2258">
        <v>15</v>
      </c>
      <c r="X385" s="2257">
        <v>15</v>
      </c>
      <c r="Y385" s="2259">
        <v>10</v>
      </c>
      <c r="Z385" s="2260" t="s">
        <v>226</v>
      </c>
      <c r="AA385" s="1108"/>
      <c r="AB385" s="1108"/>
      <c r="AC385" s="1108"/>
      <c r="AD385" s="1108"/>
      <c r="AE385" s="1108"/>
      <c r="AF385" s="1108"/>
      <c r="AG385" s="1108"/>
      <c r="AH385" s="1108"/>
      <c r="AI385" s="760"/>
      <c r="AJ385" s="760"/>
    </row>
    <row r="386" spans="1:36" ht="21.75" customHeight="1">
      <c r="A386" s="760"/>
      <c r="C386" s="2248" t="s">
        <v>2059</v>
      </c>
      <c r="D386" s="2249"/>
      <c r="E386" s="2250" t="s">
        <v>226</v>
      </c>
      <c r="F386" s="2207">
        <v>40</v>
      </c>
      <c r="G386" s="2207" t="s">
        <v>226</v>
      </c>
      <c r="H386" s="2207">
        <v>40</v>
      </c>
      <c r="I386" s="2207" t="s">
        <v>226</v>
      </c>
      <c r="J386" s="2215">
        <v>40</v>
      </c>
      <c r="K386" s="2253"/>
      <c r="L386" s="2254"/>
      <c r="M386" s="2661">
        <v>25</v>
      </c>
      <c r="N386" s="2662">
        <v>20</v>
      </c>
      <c r="O386" s="2663">
        <v>15</v>
      </c>
      <c r="P386" s="2663">
        <v>15</v>
      </c>
      <c r="Q386" s="2663">
        <v>15</v>
      </c>
      <c r="R386" s="2663">
        <v>10</v>
      </c>
      <c r="S386" s="2664" t="s">
        <v>226</v>
      </c>
      <c r="T386" s="2255">
        <v>35</v>
      </c>
      <c r="U386" s="2256">
        <v>40</v>
      </c>
      <c r="V386" s="2257">
        <v>25</v>
      </c>
      <c r="W386" s="2258">
        <v>25</v>
      </c>
      <c r="X386" s="2257">
        <v>25</v>
      </c>
      <c r="Y386" s="2259">
        <v>10</v>
      </c>
      <c r="Z386" s="2260" t="s">
        <v>226</v>
      </c>
      <c r="AA386" s="1108"/>
      <c r="AB386" s="1108"/>
      <c r="AC386" s="1108"/>
      <c r="AD386" s="1108"/>
      <c r="AE386" s="1108"/>
      <c r="AF386" s="1108"/>
      <c r="AG386" s="1108"/>
      <c r="AH386" s="1108"/>
      <c r="AI386" s="760"/>
      <c r="AJ386" s="760"/>
    </row>
    <row r="387" spans="1:36" ht="21.75" customHeight="1">
      <c r="A387" s="760"/>
      <c r="C387" s="2248" t="s">
        <v>2060</v>
      </c>
      <c r="D387" s="2249"/>
      <c r="E387" s="2250" t="s">
        <v>226</v>
      </c>
      <c r="F387" s="2207">
        <v>55</v>
      </c>
      <c r="G387" s="2207" t="s">
        <v>226</v>
      </c>
      <c r="H387" s="2207">
        <v>55</v>
      </c>
      <c r="I387" s="2207" t="s">
        <v>226</v>
      </c>
      <c r="J387" s="2215">
        <v>55</v>
      </c>
      <c r="K387" s="2253"/>
      <c r="L387" s="2254"/>
      <c r="M387" s="2661">
        <v>25</v>
      </c>
      <c r="N387" s="2662">
        <v>20</v>
      </c>
      <c r="O387" s="2663">
        <v>15</v>
      </c>
      <c r="P387" s="2663">
        <v>15</v>
      </c>
      <c r="Q387" s="2663">
        <v>15</v>
      </c>
      <c r="R387" s="2663">
        <v>10</v>
      </c>
      <c r="S387" s="2664" t="s">
        <v>226</v>
      </c>
      <c r="T387" s="2255">
        <v>50</v>
      </c>
      <c r="U387" s="2256">
        <v>40</v>
      </c>
      <c r="V387" s="2257">
        <v>30</v>
      </c>
      <c r="W387" s="2258">
        <v>30</v>
      </c>
      <c r="X387" s="2257">
        <v>30</v>
      </c>
      <c r="Y387" s="2259">
        <v>15</v>
      </c>
      <c r="Z387" s="2260" t="s">
        <v>226</v>
      </c>
      <c r="AA387" s="1108"/>
      <c r="AB387" s="1108"/>
      <c r="AC387" s="1108"/>
      <c r="AD387" s="1108"/>
      <c r="AE387" s="1108"/>
      <c r="AF387" s="1108"/>
      <c r="AG387" s="1108"/>
      <c r="AH387" s="1108"/>
      <c r="AI387" s="760"/>
      <c r="AJ387" s="760"/>
    </row>
    <row r="388" spans="1:36" ht="21.75" customHeight="1">
      <c r="A388" s="760"/>
      <c r="C388" s="2248" t="s">
        <v>2061</v>
      </c>
      <c r="D388" s="2249"/>
      <c r="E388" s="2250" t="s">
        <v>226</v>
      </c>
      <c r="F388" s="2207">
        <v>65</v>
      </c>
      <c r="G388" s="2207" t="s">
        <v>226</v>
      </c>
      <c r="H388" s="2207">
        <v>65</v>
      </c>
      <c r="I388" s="2207" t="s">
        <v>226</v>
      </c>
      <c r="J388" s="2215">
        <v>65</v>
      </c>
      <c r="K388" s="2253"/>
      <c r="L388" s="2254"/>
      <c r="M388" s="2661">
        <v>35</v>
      </c>
      <c r="N388" s="2662">
        <v>30</v>
      </c>
      <c r="O388" s="2663">
        <v>25</v>
      </c>
      <c r="P388" s="2663">
        <v>25</v>
      </c>
      <c r="Q388" s="2663">
        <v>25</v>
      </c>
      <c r="R388" s="2663">
        <v>10</v>
      </c>
      <c r="S388" s="2664" t="s">
        <v>226</v>
      </c>
      <c r="T388" s="2255">
        <v>60</v>
      </c>
      <c r="U388" s="2256">
        <v>65</v>
      </c>
      <c r="V388" s="2257">
        <v>40</v>
      </c>
      <c r="W388" s="2258">
        <v>40</v>
      </c>
      <c r="X388" s="2257">
        <v>40</v>
      </c>
      <c r="Y388" s="2259">
        <v>20</v>
      </c>
      <c r="Z388" s="2260" t="s">
        <v>226</v>
      </c>
      <c r="AA388" s="1108"/>
      <c r="AB388" s="1108"/>
      <c r="AC388" s="1108"/>
      <c r="AD388" s="1108"/>
      <c r="AE388" s="1108"/>
      <c r="AF388" s="1108"/>
      <c r="AG388" s="1108"/>
      <c r="AH388" s="1108"/>
      <c r="AI388" s="760"/>
      <c r="AJ388" s="760"/>
    </row>
    <row r="389" spans="1:36" ht="21.75" customHeight="1">
      <c r="A389" s="760"/>
      <c r="C389" s="2248" t="s">
        <v>2062</v>
      </c>
      <c r="D389" s="2249"/>
      <c r="E389" s="2250" t="s">
        <v>226</v>
      </c>
      <c r="F389" s="2207">
        <v>80</v>
      </c>
      <c r="G389" s="2207" t="s">
        <v>226</v>
      </c>
      <c r="H389" s="2207">
        <v>80</v>
      </c>
      <c r="I389" s="2207" t="s">
        <v>226</v>
      </c>
      <c r="J389" s="2215">
        <v>80</v>
      </c>
      <c r="K389" s="2253"/>
      <c r="L389" s="2254"/>
      <c r="M389" s="2661">
        <v>35</v>
      </c>
      <c r="N389" s="2662">
        <v>30</v>
      </c>
      <c r="O389" s="2663">
        <v>25</v>
      </c>
      <c r="P389" s="2663">
        <v>25</v>
      </c>
      <c r="Q389" s="2663">
        <v>25</v>
      </c>
      <c r="R389" s="2663">
        <v>10</v>
      </c>
      <c r="S389" s="2664" t="s">
        <v>226</v>
      </c>
      <c r="T389" s="2255">
        <v>70</v>
      </c>
      <c r="U389" s="2256">
        <v>60</v>
      </c>
      <c r="V389" s="2257">
        <v>50</v>
      </c>
      <c r="W389" s="2258">
        <v>50</v>
      </c>
      <c r="X389" s="2257">
        <v>50</v>
      </c>
      <c r="Y389" s="2259">
        <v>25</v>
      </c>
      <c r="Z389" s="2260" t="s">
        <v>226</v>
      </c>
      <c r="AA389" s="1108"/>
      <c r="AB389" s="1108"/>
      <c r="AC389" s="1108"/>
      <c r="AD389" s="1108"/>
      <c r="AE389" s="1108"/>
      <c r="AF389" s="1108"/>
      <c r="AG389" s="1108"/>
      <c r="AH389" s="1108"/>
      <c r="AI389" s="760"/>
      <c r="AJ389" s="760"/>
    </row>
    <row r="390" spans="1:36" ht="21.75" customHeight="1">
      <c r="A390" s="760"/>
      <c r="C390" s="2248" t="s">
        <v>2063</v>
      </c>
      <c r="D390" s="2249"/>
      <c r="E390" s="2250" t="s">
        <v>226</v>
      </c>
      <c r="F390" s="2207">
        <v>110</v>
      </c>
      <c r="G390" s="2207" t="s">
        <v>226</v>
      </c>
      <c r="H390" s="2207">
        <v>110</v>
      </c>
      <c r="I390" s="2207" t="s">
        <v>226</v>
      </c>
      <c r="J390" s="2215">
        <v>110</v>
      </c>
      <c r="K390" s="2253"/>
      <c r="L390" s="2254"/>
      <c r="M390" s="2661">
        <v>60</v>
      </c>
      <c r="N390" s="2662">
        <v>50</v>
      </c>
      <c r="O390" s="2663">
        <v>40</v>
      </c>
      <c r="P390" s="2663">
        <v>40</v>
      </c>
      <c r="Q390" s="2663">
        <v>40</v>
      </c>
      <c r="R390" s="2663">
        <v>20</v>
      </c>
      <c r="S390" s="2664" t="s">
        <v>226</v>
      </c>
      <c r="T390" s="2255">
        <v>110</v>
      </c>
      <c r="U390" s="2256">
        <v>115</v>
      </c>
      <c r="V390" s="2257">
        <v>70</v>
      </c>
      <c r="W390" s="2258">
        <v>70</v>
      </c>
      <c r="X390" s="2257">
        <v>70</v>
      </c>
      <c r="Y390" s="2259">
        <v>35</v>
      </c>
      <c r="Z390" s="2260" t="s">
        <v>226</v>
      </c>
      <c r="AA390" s="1108"/>
      <c r="AB390" s="1108"/>
      <c r="AC390" s="1108"/>
      <c r="AD390" s="1108"/>
      <c r="AE390" s="1108"/>
      <c r="AF390" s="1108"/>
      <c r="AG390" s="1108"/>
      <c r="AH390" s="1108"/>
      <c r="AI390" s="760"/>
      <c r="AJ390" s="760"/>
    </row>
    <row r="391" spans="1:36" ht="21.75" customHeight="1">
      <c r="A391" s="760"/>
      <c r="C391" s="2248" t="s">
        <v>2064</v>
      </c>
      <c r="D391" s="2249"/>
      <c r="E391" s="2250" t="s">
        <v>226</v>
      </c>
      <c r="F391" s="2207">
        <v>120</v>
      </c>
      <c r="G391" s="2207" t="s">
        <v>226</v>
      </c>
      <c r="H391" s="2207">
        <v>120</v>
      </c>
      <c r="I391" s="2207" t="s">
        <v>226</v>
      </c>
      <c r="J391" s="2215">
        <v>120</v>
      </c>
      <c r="K391" s="2253"/>
      <c r="L391" s="2254"/>
      <c r="M391" s="2661">
        <v>60</v>
      </c>
      <c r="N391" s="2662">
        <v>50</v>
      </c>
      <c r="O391" s="2663">
        <v>40</v>
      </c>
      <c r="P391" s="2663">
        <v>40</v>
      </c>
      <c r="Q391" s="2663">
        <v>40</v>
      </c>
      <c r="R391" s="2663">
        <v>20</v>
      </c>
      <c r="S391" s="2664" t="s">
        <v>226</v>
      </c>
      <c r="T391" s="2255">
        <v>120</v>
      </c>
      <c r="U391" s="2256">
        <v>100</v>
      </c>
      <c r="V391" s="2257">
        <v>80</v>
      </c>
      <c r="W391" s="2258">
        <v>80</v>
      </c>
      <c r="X391" s="2257">
        <v>80</v>
      </c>
      <c r="Y391" s="2259">
        <v>40</v>
      </c>
      <c r="Z391" s="2260" t="s">
        <v>226</v>
      </c>
      <c r="AA391" s="1108"/>
      <c r="AB391" s="1108"/>
      <c r="AC391" s="1108"/>
      <c r="AD391" s="1108"/>
      <c r="AE391" s="1108"/>
      <c r="AF391" s="1108"/>
      <c r="AG391" s="1108"/>
      <c r="AH391" s="1108"/>
      <c r="AI391" s="760"/>
      <c r="AJ391" s="760"/>
    </row>
    <row r="392" spans="1:36" ht="21.75" customHeight="1">
      <c r="A392" s="760"/>
      <c r="C392" s="2248" t="s">
        <v>2065</v>
      </c>
      <c r="D392" s="2249"/>
      <c r="E392" s="2261" t="s">
        <v>226</v>
      </c>
      <c r="F392" s="2220">
        <v>140</v>
      </c>
      <c r="G392" s="2220" t="s">
        <v>226</v>
      </c>
      <c r="H392" s="2220">
        <v>140</v>
      </c>
      <c r="I392" s="2220" t="s">
        <v>226</v>
      </c>
      <c r="J392" s="2216">
        <v>140</v>
      </c>
      <c r="K392" s="2262"/>
      <c r="L392" s="2263"/>
      <c r="M392" s="2665">
        <v>70</v>
      </c>
      <c r="N392" s="2666">
        <v>60</v>
      </c>
      <c r="O392" s="2667">
        <v>50</v>
      </c>
      <c r="P392" s="2667">
        <v>50</v>
      </c>
      <c r="Q392" s="2667">
        <v>50</v>
      </c>
      <c r="R392" s="2667">
        <v>25</v>
      </c>
      <c r="S392" s="2668" t="s">
        <v>226</v>
      </c>
      <c r="T392" s="2264">
        <v>145</v>
      </c>
      <c r="U392" s="2265">
        <v>120</v>
      </c>
      <c r="V392" s="2266">
        <v>95</v>
      </c>
      <c r="W392" s="2267">
        <v>95</v>
      </c>
      <c r="X392" s="2266">
        <v>95</v>
      </c>
      <c r="Y392" s="2268">
        <v>50</v>
      </c>
      <c r="Z392" s="2269" t="s">
        <v>226</v>
      </c>
      <c r="AA392" s="1108"/>
      <c r="AB392" s="1108"/>
      <c r="AC392" s="1108"/>
      <c r="AD392" s="1108"/>
      <c r="AE392" s="1108"/>
      <c r="AF392" s="1108"/>
      <c r="AG392" s="1108"/>
      <c r="AH392" s="1108"/>
      <c r="AI392" s="760"/>
      <c r="AJ392" s="760"/>
    </row>
    <row r="393" spans="1:36" ht="21.75" customHeight="1">
      <c r="A393" s="760"/>
      <c r="C393" s="2248" t="s">
        <v>1385</v>
      </c>
      <c r="D393" s="2249"/>
      <c r="E393" s="2250" t="s">
        <v>226</v>
      </c>
      <c r="F393" s="2207">
        <v>0</v>
      </c>
      <c r="G393" s="2207" t="s">
        <v>226</v>
      </c>
      <c r="H393" s="2207">
        <v>0</v>
      </c>
      <c r="I393" s="2207" t="s">
        <v>226</v>
      </c>
      <c r="J393" s="2215">
        <v>0</v>
      </c>
      <c r="K393" s="2270" t="s">
        <v>1086</v>
      </c>
      <c r="L393" s="2149"/>
      <c r="M393" s="2669"/>
      <c r="N393" s="2670"/>
      <c r="O393" s="2670"/>
      <c r="P393" s="2670"/>
      <c r="Q393" s="2670"/>
      <c r="R393" s="2670"/>
      <c r="S393" s="2671"/>
      <c r="T393" s="2271" t="s">
        <v>1086</v>
      </c>
      <c r="U393" s="2272"/>
      <c r="V393" s="2272"/>
      <c r="W393" s="2272"/>
      <c r="X393" s="2272"/>
      <c r="Y393" s="2272"/>
      <c r="Z393" s="2273"/>
      <c r="AA393" s="1108"/>
      <c r="AB393" s="1108"/>
      <c r="AC393" s="1108"/>
      <c r="AD393" s="1108"/>
      <c r="AE393" s="1108"/>
      <c r="AF393" s="1108"/>
      <c r="AG393" s="1108"/>
      <c r="AH393" s="1108"/>
      <c r="AI393" s="760"/>
      <c r="AJ393" s="760"/>
    </row>
    <row r="394" spans="1:36" ht="21.75" customHeight="1">
      <c r="A394" s="760"/>
      <c r="C394" s="2248" t="s">
        <v>1386</v>
      </c>
      <c r="D394" s="2249"/>
      <c r="E394" s="2250" t="s">
        <v>226</v>
      </c>
      <c r="F394" s="2207">
        <v>0</v>
      </c>
      <c r="G394" s="2207" t="s">
        <v>226</v>
      </c>
      <c r="H394" s="2207">
        <v>0</v>
      </c>
      <c r="I394" s="2207" t="s">
        <v>226</v>
      </c>
      <c r="J394" s="2215">
        <v>0</v>
      </c>
      <c r="K394" s="2270" t="s">
        <v>1086</v>
      </c>
      <c r="L394" s="2149"/>
      <c r="M394" s="2669"/>
      <c r="N394" s="2670"/>
      <c r="O394" s="2670"/>
      <c r="P394" s="2670"/>
      <c r="Q394" s="2670"/>
      <c r="R394" s="2670"/>
      <c r="S394" s="2671"/>
      <c r="T394" s="2271" t="s">
        <v>1086</v>
      </c>
      <c r="U394" s="2272"/>
      <c r="V394" s="2272"/>
      <c r="W394" s="2272"/>
      <c r="X394" s="2272"/>
      <c r="Y394" s="2272"/>
      <c r="Z394" s="2273"/>
      <c r="AA394" s="1108"/>
      <c r="AB394" s="1108"/>
      <c r="AC394" s="1108"/>
      <c r="AD394" s="1108"/>
      <c r="AE394" s="1108"/>
      <c r="AF394" s="1108"/>
      <c r="AG394" s="1108"/>
      <c r="AH394" s="1108"/>
      <c r="AI394" s="760"/>
      <c r="AJ394" s="760"/>
    </row>
    <row r="395" spans="1:36" ht="21.75" customHeight="1">
      <c r="A395" s="760"/>
      <c r="C395" s="2248" t="s">
        <v>1387</v>
      </c>
      <c r="D395" s="2249"/>
      <c r="E395" s="2250" t="s">
        <v>226</v>
      </c>
      <c r="F395" s="2207">
        <v>0</v>
      </c>
      <c r="G395" s="2207" t="s">
        <v>226</v>
      </c>
      <c r="H395" s="2207">
        <v>0</v>
      </c>
      <c r="I395" s="2207" t="s">
        <v>226</v>
      </c>
      <c r="J395" s="2215">
        <v>0</v>
      </c>
      <c r="K395" s="2270" t="s">
        <v>1086</v>
      </c>
      <c r="L395" s="2149"/>
      <c r="M395" s="2669"/>
      <c r="N395" s="2670"/>
      <c r="O395" s="2670"/>
      <c r="P395" s="2670"/>
      <c r="Q395" s="2670"/>
      <c r="R395" s="2670"/>
      <c r="S395" s="2671"/>
      <c r="T395" s="2271" t="s">
        <v>1086</v>
      </c>
      <c r="U395" s="2272"/>
      <c r="V395" s="2272"/>
      <c r="W395" s="2272"/>
      <c r="X395" s="2272"/>
      <c r="Y395" s="2272"/>
      <c r="Z395" s="2273"/>
      <c r="AA395" s="1108"/>
      <c r="AB395" s="1108"/>
      <c r="AC395" s="1108"/>
      <c r="AD395" s="1108"/>
      <c r="AE395" s="1108"/>
      <c r="AF395" s="1108"/>
      <c r="AG395" s="1108"/>
      <c r="AH395" s="1108"/>
      <c r="AI395" s="760"/>
      <c r="AJ395" s="760"/>
    </row>
    <row r="396" spans="1:36" ht="21.75" customHeight="1" thickBot="1">
      <c r="A396" s="760"/>
      <c r="C396" s="2274" t="s">
        <v>1388</v>
      </c>
      <c r="D396" s="2275"/>
      <c r="E396" s="2276" t="s">
        <v>226</v>
      </c>
      <c r="F396" s="2214">
        <v>0</v>
      </c>
      <c r="G396" s="2214" t="s">
        <v>226</v>
      </c>
      <c r="H396" s="2214">
        <v>0</v>
      </c>
      <c r="I396" s="2214" t="s">
        <v>226</v>
      </c>
      <c r="J396" s="2217">
        <v>0</v>
      </c>
      <c r="K396" s="2218" t="s">
        <v>1086</v>
      </c>
      <c r="L396" s="2219"/>
      <c r="M396" s="2672"/>
      <c r="N396" s="2673"/>
      <c r="O396" s="2673"/>
      <c r="P396" s="2673"/>
      <c r="Q396" s="2673"/>
      <c r="R396" s="2673"/>
      <c r="S396" s="2674"/>
      <c r="T396" s="2277" t="s">
        <v>1086</v>
      </c>
      <c r="U396" s="2278"/>
      <c r="V396" s="2278"/>
      <c r="W396" s="2278"/>
      <c r="X396" s="2278"/>
      <c r="Y396" s="2278"/>
      <c r="Z396" s="2279"/>
      <c r="AA396" s="1108"/>
      <c r="AB396" s="1108"/>
      <c r="AC396" s="1108"/>
      <c r="AD396" s="1108"/>
      <c r="AE396" s="1108"/>
      <c r="AF396" s="1108"/>
      <c r="AG396" s="1108"/>
      <c r="AH396" s="1108"/>
      <c r="AI396" s="760"/>
      <c r="AJ396" s="760"/>
    </row>
    <row r="397" spans="1:36" ht="21" customHeight="1">
      <c r="A397" s="760"/>
      <c r="C397" s="1110" t="s">
        <v>2045</v>
      </c>
      <c r="D397" s="1012"/>
      <c r="E397" s="1012"/>
      <c r="F397" s="1012"/>
      <c r="G397" s="1012"/>
      <c r="H397" s="1012"/>
      <c r="I397" s="1012"/>
      <c r="J397" s="1012"/>
      <c r="K397" s="1012"/>
      <c r="L397" s="1012"/>
      <c r="M397" s="1012"/>
      <c r="N397" s="1012"/>
      <c r="O397" s="1012"/>
      <c r="P397" s="1012"/>
      <c r="Q397" s="1012"/>
      <c r="R397" s="1012"/>
      <c r="S397" s="1012"/>
      <c r="T397" s="1012"/>
      <c r="U397" s="1012"/>
      <c r="V397" s="1012"/>
      <c r="W397" s="1012"/>
      <c r="X397" s="1012"/>
      <c r="Y397" s="1012"/>
      <c r="Z397" s="1012"/>
      <c r="AA397" s="1012"/>
      <c r="AB397" s="1108"/>
      <c r="AC397" s="1108"/>
      <c r="AD397" s="1108"/>
      <c r="AE397" s="1108"/>
      <c r="AF397" s="1108"/>
      <c r="AG397" s="1108"/>
      <c r="AH397" s="1108"/>
      <c r="AI397" s="760"/>
      <c r="AJ397" s="760"/>
    </row>
    <row r="398" spans="1:36" ht="21" customHeight="1">
      <c r="A398" s="760"/>
      <c r="C398" s="751" t="s">
        <v>2046</v>
      </c>
      <c r="D398" s="1012"/>
      <c r="E398" s="1012"/>
      <c r="F398" s="1012"/>
      <c r="G398" s="1012"/>
      <c r="H398" s="1012"/>
      <c r="I398" s="1012"/>
      <c r="J398" s="1012"/>
      <c r="K398" s="1012"/>
      <c r="L398" s="1012"/>
      <c r="M398" s="1012"/>
      <c r="N398" s="1012"/>
      <c r="O398" s="1012"/>
      <c r="P398" s="1012"/>
      <c r="Q398" s="1012"/>
      <c r="R398" s="1012"/>
      <c r="S398" s="1012"/>
      <c r="T398" s="1012"/>
      <c r="U398" s="1012"/>
      <c r="V398" s="1012"/>
      <c r="W398" s="1012"/>
      <c r="X398" s="1012"/>
      <c r="Y398" s="1012"/>
      <c r="Z398" s="1012"/>
      <c r="AA398" s="1012"/>
      <c r="AB398" s="1108"/>
      <c r="AC398" s="1108"/>
      <c r="AD398" s="1108"/>
      <c r="AE398" s="1108"/>
      <c r="AF398" s="1108"/>
      <c r="AG398" s="1108"/>
      <c r="AH398" s="1108"/>
      <c r="AI398" s="760"/>
      <c r="AJ398" s="760"/>
    </row>
    <row r="399" spans="1:36" ht="21" customHeight="1">
      <c r="A399" s="760"/>
      <c r="C399" s="1110" t="s">
        <v>1971</v>
      </c>
      <c r="D399" s="1012"/>
      <c r="E399" s="1012"/>
      <c r="F399" s="1012"/>
      <c r="G399" s="1012"/>
      <c r="H399" s="1012"/>
      <c r="I399" s="1012"/>
      <c r="J399" s="1012"/>
      <c r="K399" s="1012"/>
      <c r="L399" s="1012"/>
      <c r="M399" s="1012"/>
      <c r="N399" s="1012"/>
      <c r="O399" s="1012"/>
      <c r="P399" s="1012"/>
      <c r="Q399" s="1012"/>
      <c r="R399" s="1012"/>
      <c r="S399" s="1012"/>
      <c r="T399" s="1012"/>
      <c r="U399" s="1012"/>
      <c r="V399" s="1012"/>
      <c r="W399" s="1012"/>
      <c r="X399" s="1012"/>
      <c r="Y399" s="1012"/>
      <c r="Z399" s="1012"/>
      <c r="AA399" s="1012"/>
      <c r="AB399" s="1108"/>
      <c r="AC399" s="760"/>
      <c r="AD399" s="760"/>
      <c r="AE399" s="760"/>
      <c r="AF399" s="760"/>
      <c r="AG399" s="760"/>
      <c r="AH399" s="760"/>
      <c r="AI399" s="760"/>
      <c r="AJ399" s="760"/>
    </row>
    <row r="400" spans="1:36" ht="21" customHeight="1">
      <c r="A400" s="760"/>
      <c r="C400" s="1110" t="s">
        <v>1972</v>
      </c>
      <c r="D400" s="1012"/>
      <c r="E400" s="1012"/>
      <c r="F400" s="1012"/>
      <c r="G400" s="1012"/>
      <c r="H400" s="1012"/>
      <c r="I400" s="1012"/>
      <c r="J400" s="1012"/>
      <c r="K400" s="1012"/>
      <c r="L400" s="1012"/>
      <c r="M400" s="1012"/>
      <c r="N400" s="1012"/>
      <c r="O400" s="1012"/>
      <c r="P400" s="1012"/>
      <c r="Q400" s="1012"/>
      <c r="R400" s="1012"/>
      <c r="S400" s="1012"/>
      <c r="T400" s="1012"/>
      <c r="U400" s="1012"/>
      <c r="V400" s="1012"/>
      <c r="W400" s="1012"/>
      <c r="X400" s="1012"/>
      <c r="Y400" s="1012"/>
      <c r="Z400" s="1012"/>
      <c r="AA400" s="1012"/>
      <c r="AB400" s="1108"/>
      <c r="AC400" s="760"/>
      <c r="AD400" s="760"/>
      <c r="AE400" s="760"/>
      <c r="AF400" s="760"/>
      <c r="AG400" s="760"/>
      <c r="AH400" s="760"/>
      <c r="AI400" s="760"/>
      <c r="AJ400" s="760"/>
    </row>
    <row r="401" spans="1:36" ht="21" customHeight="1">
      <c r="A401" s="760"/>
      <c r="C401" s="1110" t="s">
        <v>1973</v>
      </c>
      <c r="D401" s="1012"/>
      <c r="E401" s="1012"/>
      <c r="F401" s="1012"/>
      <c r="G401" s="1012"/>
      <c r="H401" s="1012"/>
      <c r="I401" s="1012"/>
      <c r="J401" s="1012"/>
      <c r="K401" s="1012"/>
      <c r="L401" s="1012"/>
      <c r="M401" s="1012"/>
      <c r="N401" s="1012"/>
      <c r="O401" s="1012"/>
      <c r="P401" s="1012"/>
      <c r="Q401" s="1012"/>
      <c r="R401" s="1012"/>
      <c r="S401" s="1012"/>
      <c r="T401" s="1012"/>
      <c r="U401" s="1012"/>
      <c r="V401" s="1012"/>
      <c r="W401" s="1012"/>
      <c r="X401" s="1012"/>
      <c r="Y401" s="1012"/>
      <c r="Z401" s="1012"/>
      <c r="AA401" s="1012"/>
      <c r="AB401" s="1108"/>
      <c r="AC401" s="760"/>
      <c r="AD401" s="760"/>
      <c r="AE401" s="760"/>
      <c r="AF401" s="760"/>
      <c r="AG401" s="760"/>
      <c r="AH401" s="760"/>
      <c r="AI401" s="760"/>
      <c r="AJ401" s="760"/>
    </row>
    <row r="402" spans="1:36" ht="21" customHeight="1">
      <c r="A402" s="760"/>
      <c r="C402" s="1110" t="s">
        <v>1974</v>
      </c>
      <c r="D402" s="1012"/>
      <c r="E402" s="1012"/>
      <c r="F402" s="1012"/>
      <c r="G402" s="1012"/>
      <c r="H402" s="1012"/>
      <c r="I402" s="1012"/>
      <c r="J402" s="1012"/>
      <c r="K402" s="1012"/>
      <c r="L402" s="1012"/>
      <c r="M402" s="1012"/>
      <c r="N402" s="1012"/>
      <c r="O402" s="1012"/>
      <c r="P402" s="1012"/>
      <c r="Q402" s="1012"/>
      <c r="R402" s="1012"/>
      <c r="S402" s="1012"/>
      <c r="T402" s="1012"/>
      <c r="U402" s="1012"/>
      <c r="V402" s="1012"/>
      <c r="W402" s="1012"/>
      <c r="X402" s="1012"/>
      <c r="Y402" s="1012"/>
      <c r="Z402" s="1012"/>
      <c r="AA402" s="1012"/>
      <c r="AB402" s="1108"/>
      <c r="AC402" s="760"/>
      <c r="AD402" s="760"/>
      <c r="AE402" s="760"/>
      <c r="AF402" s="760"/>
      <c r="AG402" s="760"/>
      <c r="AH402" s="760"/>
      <c r="AI402" s="760"/>
      <c r="AJ402" s="760"/>
    </row>
    <row r="403" spans="1:36" ht="21" customHeight="1">
      <c r="A403" s="760"/>
      <c r="C403" s="1110" t="s">
        <v>1975</v>
      </c>
      <c r="D403" s="1012"/>
      <c r="E403" s="1012"/>
      <c r="F403" s="1012"/>
      <c r="G403" s="1012"/>
      <c r="H403" s="1012"/>
      <c r="I403" s="1012"/>
      <c r="J403" s="1012"/>
      <c r="K403" s="1012"/>
      <c r="L403" s="1012"/>
      <c r="M403" s="1012"/>
      <c r="N403" s="1012"/>
      <c r="O403" s="1012"/>
      <c r="P403" s="1012"/>
      <c r="Q403" s="1012"/>
      <c r="R403" s="1012"/>
      <c r="S403" s="1012"/>
      <c r="T403" s="1012"/>
      <c r="U403" s="1012"/>
      <c r="V403" s="1012"/>
      <c r="W403" s="1012"/>
      <c r="X403" s="1012"/>
      <c r="Y403" s="1012"/>
      <c r="Z403" s="1012"/>
      <c r="AA403" s="1012"/>
      <c r="AB403" s="1108"/>
      <c r="AC403" s="760"/>
      <c r="AD403" s="760"/>
      <c r="AE403" s="760"/>
      <c r="AF403" s="760"/>
      <c r="AG403" s="760"/>
      <c r="AH403" s="760"/>
      <c r="AI403" s="760"/>
      <c r="AJ403" s="760"/>
    </row>
    <row r="404" spans="1:36" ht="21" customHeight="1">
      <c r="A404" s="760"/>
      <c r="C404" s="1110" t="s">
        <v>1389</v>
      </c>
      <c r="D404" s="1012"/>
      <c r="E404" s="1012"/>
      <c r="F404" s="1012"/>
      <c r="G404" s="1012"/>
      <c r="H404" s="1012"/>
      <c r="I404" s="1012"/>
      <c r="J404" s="1012"/>
      <c r="K404" s="1012"/>
      <c r="L404" s="1012"/>
      <c r="M404" s="1012"/>
      <c r="N404" s="1012"/>
      <c r="O404" s="1012"/>
      <c r="P404" s="1012"/>
      <c r="Q404" s="1012"/>
      <c r="R404" s="1012"/>
      <c r="S404" s="1012"/>
      <c r="T404" s="1012"/>
      <c r="U404" s="1012"/>
      <c r="V404" s="1012"/>
      <c r="W404" s="1012"/>
      <c r="X404" s="1012"/>
      <c r="Y404" s="1012"/>
      <c r="Z404" s="1012"/>
      <c r="AA404" s="1012"/>
      <c r="AB404" s="1108"/>
      <c r="AC404" s="760"/>
      <c r="AD404" s="760"/>
      <c r="AE404" s="760"/>
      <c r="AF404" s="760"/>
      <c r="AG404" s="760"/>
      <c r="AH404" s="760"/>
      <c r="AI404" s="760"/>
      <c r="AJ404" s="760"/>
    </row>
    <row r="405" spans="1:36" ht="21" customHeight="1">
      <c r="A405" s="760"/>
      <c r="C405" s="1110" t="s">
        <v>1390</v>
      </c>
      <c r="D405" s="1012"/>
      <c r="E405" s="1012"/>
      <c r="F405" s="1012"/>
      <c r="G405" s="1012"/>
      <c r="H405" s="1012"/>
      <c r="I405" s="1012"/>
      <c r="J405" s="1012"/>
      <c r="K405" s="1012"/>
      <c r="L405" s="1012"/>
      <c r="M405" s="1012"/>
      <c r="N405" s="1012"/>
      <c r="O405" s="1012"/>
      <c r="P405" s="1012"/>
      <c r="Q405" s="1012"/>
      <c r="R405" s="1012"/>
      <c r="S405" s="1012"/>
      <c r="T405" s="1012"/>
      <c r="U405" s="1012"/>
      <c r="V405" s="1012"/>
      <c r="W405" s="1012"/>
      <c r="X405" s="1012"/>
      <c r="Y405" s="1012"/>
      <c r="Z405" s="1012"/>
      <c r="AA405" s="1012"/>
      <c r="AB405" s="1108"/>
      <c r="AC405" s="760"/>
      <c r="AD405" s="760"/>
      <c r="AE405" s="760"/>
      <c r="AF405" s="760"/>
      <c r="AG405" s="760"/>
      <c r="AH405" s="760"/>
      <c r="AI405" s="760"/>
      <c r="AJ405" s="760"/>
    </row>
  </sheetData>
  <sheetProtection password="CC3A" sheet="1" objects="1" scenarios="1" formatCells="0" formatRows="0"/>
  <mergeCells count="167">
    <mergeCell ref="C22:D22"/>
    <mergeCell ref="C23:D23"/>
    <mergeCell ref="C24:D24"/>
    <mergeCell ref="C25:D25"/>
    <mergeCell ref="Q36:R36"/>
    <mergeCell ref="E312:F312"/>
    <mergeCell ref="G312:H312"/>
    <mergeCell ref="I312:J312"/>
    <mergeCell ref="K69:L69"/>
    <mergeCell ref="E33:N33"/>
    <mergeCell ref="O33:P34"/>
    <mergeCell ref="Q33:W33"/>
    <mergeCell ref="E34:N34"/>
    <mergeCell ref="S34:U34"/>
    <mergeCell ref="S36:U36"/>
    <mergeCell ref="K66:L67"/>
    <mergeCell ref="E66:J66"/>
    <mergeCell ref="M66:W66"/>
    <mergeCell ref="C29:F29"/>
    <mergeCell ref="V28:X30"/>
    <mergeCell ref="X33:AD33"/>
    <mergeCell ref="Z34:AB34"/>
    <mergeCell ref="C33:D34"/>
    <mergeCell ref="E35:F35"/>
    <mergeCell ref="J1:K1"/>
    <mergeCell ref="L1:M1"/>
    <mergeCell ref="P12:P14"/>
    <mergeCell ref="C15:D15"/>
    <mergeCell ref="C16:D16"/>
    <mergeCell ref="C5:D5"/>
    <mergeCell ref="C6:D6"/>
    <mergeCell ref="C7:D7"/>
    <mergeCell ref="C8:D8"/>
    <mergeCell ref="C9:D9"/>
    <mergeCell ref="C10:D10"/>
    <mergeCell ref="C11:D11"/>
    <mergeCell ref="C12:D12"/>
    <mergeCell ref="C13:D13"/>
    <mergeCell ref="C14:D14"/>
    <mergeCell ref="Z36:AB36"/>
    <mergeCell ref="M19:R22"/>
    <mergeCell ref="V22:V26"/>
    <mergeCell ref="M24:R26"/>
    <mergeCell ref="M27:R29"/>
    <mergeCell ref="M30:R30"/>
    <mergeCell ref="AK2:AN2"/>
    <mergeCell ref="G3:H3"/>
    <mergeCell ref="J3:K3"/>
    <mergeCell ref="M3:O3"/>
    <mergeCell ref="Q3:R3"/>
    <mergeCell ref="S3:T3"/>
    <mergeCell ref="W3:X3"/>
    <mergeCell ref="M4:O4"/>
    <mergeCell ref="W4:X18"/>
    <mergeCell ref="M5:O5"/>
    <mergeCell ref="M6:O7"/>
    <mergeCell ref="P6:P7"/>
    <mergeCell ref="Q6:Q7"/>
    <mergeCell ref="R6:R7"/>
    <mergeCell ref="M8:O9"/>
    <mergeCell ref="P8:P9"/>
    <mergeCell ref="Q8:Q9"/>
    <mergeCell ref="M15:O16"/>
    <mergeCell ref="C84:C89"/>
    <mergeCell ref="Q12:Q14"/>
    <mergeCell ref="R8:R9"/>
    <mergeCell ref="M10:O11"/>
    <mergeCell ref="P10:P11"/>
    <mergeCell ref="Q10:Q11"/>
    <mergeCell ref="R10:R11"/>
    <mergeCell ref="R12:R14"/>
    <mergeCell ref="X36:Y36"/>
    <mergeCell ref="P15:P16"/>
    <mergeCell ref="Q15:Q16"/>
    <mergeCell ref="R15:R16"/>
    <mergeCell ref="M17:Q18"/>
    <mergeCell ref="R17:R18"/>
    <mergeCell ref="M12:O14"/>
    <mergeCell ref="G35:H35"/>
    <mergeCell ref="I35:J35"/>
    <mergeCell ref="K35:L35"/>
    <mergeCell ref="M35:N35"/>
    <mergeCell ref="O36:P36"/>
    <mergeCell ref="C20:D20"/>
    <mergeCell ref="C21:D21"/>
    <mergeCell ref="C17:D17"/>
    <mergeCell ref="C18:D18"/>
    <mergeCell ref="Z131:AB131"/>
    <mergeCell ref="X66:AH66"/>
    <mergeCell ref="C109:C114"/>
    <mergeCell ref="X106:Z106"/>
    <mergeCell ref="AA106:AC106"/>
    <mergeCell ref="AD106:AF106"/>
    <mergeCell ref="M108:O108"/>
    <mergeCell ref="P108:R108"/>
    <mergeCell ref="S108:U108"/>
    <mergeCell ref="X69:Z69"/>
    <mergeCell ref="AA69:AC69"/>
    <mergeCell ref="AD69:AF69"/>
    <mergeCell ref="X108:Z108"/>
    <mergeCell ref="AA108:AC108"/>
    <mergeCell ref="AD108:AF108"/>
    <mergeCell ref="P69:R69"/>
    <mergeCell ref="S69:U69"/>
    <mergeCell ref="S106:U106"/>
    <mergeCell ref="E106:J106"/>
    <mergeCell ref="E107:F107"/>
    <mergeCell ref="G107:H107"/>
    <mergeCell ref="C96:C101"/>
    <mergeCell ref="C72:C77"/>
    <mergeCell ref="C78:C83"/>
    <mergeCell ref="X67:Z67"/>
    <mergeCell ref="AA67:AC67"/>
    <mergeCell ref="AD67:AF67"/>
    <mergeCell ref="E68:F68"/>
    <mergeCell ref="G68:H68"/>
    <mergeCell ref="I68:J68"/>
    <mergeCell ref="E67:J67"/>
    <mergeCell ref="M67:O67"/>
    <mergeCell ref="P67:R67"/>
    <mergeCell ref="S67:U67"/>
    <mergeCell ref="M69:O69"/>
    <mergeCell ref="C115:C120"/>
    <mergeCell ref="M106:O106"/>
    <mergeCell ref="P106:R106"/>
    <mergeCell ref="O133:P133"/>
    <mergeCell ref="Q133:R133"/>
    <mergeCell ref="S133:U133"/>
    <mergeCell ref="X133:Y133"/>
    <mergeCell ref="Z133:AB133"/>
    <mergeCell ref="E132:F132"/>
    <mergeCell ref="G132:H132"/>
    <mergeCell ref="I132:J132"/>
    <mergeCell ref="K132:L132"/>
    <mergeCell ref="M132:N132"/>
    <mergeCell ref="I107:J107"/>
    <mergeCell ref="K106:L107"/>
    <mergeCell ref="C90:C95"/>
    <mergeCell ref="C130:D131"/>
    <mergeCell ref="E130:N130"/>
    <mergeCell ref="O130:P131"/>
    <mergeCell ref="Q130:W130"/>
    <mergeCell ref="X130:AD130"/>
    <mergeCell ref="E131:N131"/>
    <mergeCell ref="S131:U131"/>
    <mergeCell ref="E298:F298"/>
    <mergeCell ref="G298:H298"/>
    <mergeCell ref="I298:J298"/>
    <mergeCell ref="E373:F373"/>
    <mergeCell ref="G373:H373"/>
    <mergeCell ref="I373:J373"/>
    <mergeCell ref="M168:S168"/>
    <mergeCell ref="T168:Z168"/>
    <mergeCell ref="O169:Q169"/>
    <mergeCell ref="V169:X169"/>
    <mergeCell ref="M171:N171"/>
    <mergeCell ref="O171:Q171"/>
    <mergeCell ref="T171:U171"/>
    <mergeCell ref="V171:X171"/>
    <mergeCell ref="E170:F170"/>
    <mergeCell ref="G170:H170"/>
    <mergeCell ref="I170:J170"/>
    <mergeCell ref="E168:J168"/>
    <mergeCell ref="K168:L169"/>
    <mergeCell ref="E267:F267"/>
    <mergeCell ref="G267:H267"/>
    <mergeCell ref="I267:J267"/>
  </mergeCells>
  <conditionalFormatting sqref="C29:D29">
    <cfRule type="cellIs" dxfId="59" priority="4" stopIfTrue="1" operator="equal">
      <formula>"Der N-Saldo ist nicht ok!"</formula>
    </cfRule>
  </conditionalFormatting>
  <conditionalFormatting sqref="M30">
    <cfRule type="cellIs" dxfId="58" priority="5" stopIfTrue="1" operator="equal">
      <formula>"Achtung, der P-Saldo ist zu hoch!"</formula>
    </cfRule>
  </conditionalFormatting>
  <conditionalFormatting sqref="E30">
    <cfRule type="cellIs" dxfId="57" priority="6" stopIfTrue="1" operator="greaterThan">
      <formula>1</formula>
    </cfRule>
  </conditionalFormatting>
  <conditionalFormatting sqref="M24">
    <cfRule type="cellIs" dxfId="56" priority="7" stopIfTrue="1" operator="equal">
      <formula>"Der Phosphoreinsatz liegt über 100 kg je ha LN, eine Dokumentation und Begründung ist erforderlich!"</formula>
    </cfRule>
  </conditionalFormatting>
  <conditionalFormatting sqref="J5:J18">
    <cfRule type="cellIs" dxfId="55" priority="8" stopIfTrue="1" operator="greaterThan">
      <formula>1</formula>
    </cfRule>
  </conditionalFormatting>
  <conditionalFormatting sqref="K5">
    <cfRule type="cellIs" dxfId="54" priority="9" stopIfTrue="1" operator="greaterThan">
      <formula>1</formula>
    </cfRule>
  </conditionalFormatting>
  <conditionalFormatting sqref="J19:J25">
    <cfRule type="cellIs" dxfId="53" priority="10" stopIfTrue="1" operator="greaterThan">
      <formula>1</formula>
    </cfRule>
  </conditionalFormatting>
  <conditionalFormatting sqref="K6:K25">
    <cfRule type="cellIs" dxfId="52" priority="11" stopIfTrue="1" operator="greaterThan">
      <formula>1</formula>
    </cfRule>
  </conditionalFormatting>
  <conditionalFormatting sqref="T5:T18 T20:T25">
    <cfRule type="cellIs" dxfId="51" priority="12" stopIfTrue="1" operator="greaterThan">
      <formula>1</formula>
    </cfRule>
  </conditionalFormatting>
  <conditionalFormatting sqref="U30">
    <cfRule type="cellIs" dxfId="50" priority="13" stopIfTrue="1" operator="lessThan">
      <formula>0</formula>
    </cfRule>
    <cfRule type="cellIs" dxfId="49" priority="14" stopIfTrue="1" operator="greaterThan">
      <formula>0</formula>
    </cfRule>
  </conditionalFormatting>
  <conditionalFormatting sqref="U27:U29">
    <cfRule type="cellIs" dxfId="48" priority="15" stopIfTrue="1" operator="greaterThan">
      <formula>1</formula>
    </cfRule>
  </conditionalFormatting>
  <conditionalFormatting sqref="S5:S25">
    <cfRule type="cellIs" dxfId="47" priority="16" stopIfTrue="1" operator="greaterThan">
      <formula>1</formula>
    </cfRule>
  </conditionalFormatting>
  <conditionalFormatting sqref="I29">
    <cfRule type="cellIs" dxfId="46" priority="17" stopIfTrue="1" operator="lessThan">
      <formula>0</formula>
    </cfRule>
    <cfRule type="cellIs" dxfId="45" priority="18" stopIfTrue="1" operator="greaterThan">
      <formula>0</formula>
    </cfRule>
  </conditionalFormatting>
  <conditionalFormatting sqref="I30">
    <cfRule type="cellIs" dxfId="44" priority="19" stopIfTrue="1" operator="greaterThan">
      <formula>1</formula>
    </cfRule>
  </conditionalFormatting>
  <conditionalFormatting sqref="I27:I28">
    <cfRule type="cellIs" dxfId="43" priority="20" stopIfTrue="1" operator="notEqual">
      <formula>0</formula>
    </cfRule>
  </conditionalFormatting>
  <conditionalFormatting sqref="L26:L27">
    <cfRule type="cellIs" dxfId="42" priority="21" stopIfTrue="1" operator="greaterThan">
      <formula>1</formula>
    </cfRule>
  </conditionalFormatting>
  <conditionalFormatting sqref="L29">
    <cfRule type="cellIs" dxfId="41" priority="22" stopIfTrue="1" operator="equal">
      <formula>"Ok!"</formula>
    </cfRule>
    <cfRule type="cellIs" dxfId="40" priority="23" stopIfTrue="1" operator="greaterThan">
      <formula>0</formula>
    </cfRule>
  </conditionalFormatting>
  <conditionalFormatting sqref="E31">
    <cfRule type="cellIs" dxfId="39" priority="24" stopIfTrue="1" operator="greaterThan">
      <formula>1</formula>
    </cfRule>
  </conditionalFormatting>
  <conditionalFormatting sqref="I31">
    <cfRule type="cellIs" dxfId="38" priority="25" stopIfTrue="1" operator="greaterThan">
      <formula>1</formula>
    </cfRule>
  </conditionalFormatting>
  <conditionalFormatting sqref="I5:I18">
    <cfRule type="cellIs" dxfId="37" priority="3" stopIfTrue="1" operator="greaterThan">
      <formula>1</formula>
    </cfRule>
  </conditionalFormatting>
  <conditionalFormatting sqref="I20:I26">
    <cfRule type="cellIs" dxfId="36" priority="2" stopIfTrue="1" operator="greaterThan">
      <formula>1</formula>
    </cfRule>
  </conditionalFormatting>
  <conditionalFormatting sqref="L28">
    <cfRule type="cellIs" dxfId="35" priority="1" stopIfTrue="1" operator="greaterThan">
      <formula>1</formula>
    </cfRule>
  </conditionalFormatting>
  <dataValidations count="13">
    <dataValidation type="list" operator="equal" allowBlank="1" showInputMessage="1" promptTitle="Hinweis" prompt="Kultur auswählen, nicht angezeigte (zB Gemüse und Heilkräuter) eintippen!" sqref="C19:D19">
      <formula1>#NAME?</formula1>
      <formula2>0</formula2>
    </dataValidation>
    <dataValidation type="list" operator="equal" allowBlank="1" showErrorMessage="1" sqref="F5:F18">
      <formula1>Liste_Ertrag</formula1>
    </dataValidation>
    <dataValidation type="whole" allowBlank="1" showErrorMessage="1" promptTitle="Hinweis" prompt="Wird der N-Bedarfswert nicht automatisch eingespielt, muss er hier eingetragen werden (bei allen eingetippten Kulturen)." sqref="G5:G18 G21:G25">
      <formula1>0</formula1>
      <formula2>500</formula2>
    </dataValidation>
    <dataValidation operator="equal" allowBlank="1" showInputMessage="1" showErrorMessage="1" promptTitle="Hinweis" prompt="Dieser Wert wird berechnet." sqref="H5">
      <formula1>0</formula1>
      <formula2>0</formula2>
    </dataValidation>
    <dataValidation type="whole" allowBlank="1" showInputMessage="1" showErrorMessage="1" promptTitle="Hinweis" prompt="Der P-Bedarfswert kann hier auf die Ertrags- und Versorgungssituation angepasst, oder muss eingegeben werden, wenn kein Wert vorgegeben ist." sqref="J19">
      <formula1>0</formula1>
      <formula2>160</formula2>
    </dataValidation>
    <dataValidation operator="equal" allowBlank="1" showInputMessage="1" showErrorMessage="1" prompt="Der K-Bedarfswert kann hier auf die Boden, Ertrags- und Versorgungssituation angepasst, oder muss eingegeben werden, wenn kein Wert vorgegeben ist." sqref="S5">
      <formula1>0</formula1>
      <formula2>0</formula2>
    </dataValidation>
    <dataValidation type="list" operator="equal" allowBlank="1" showErrorMessage="1" sqref="F20:F25">
      <formula1>Liste_Grünland</formula1>
    </dataValidation>
    <dataValidation type="whole" allowBlank="1" showInputMessage="1" showErrorMessage="1" promptTitle="Hinweis" prompt="Wird der N-Bedarfswert nicht automatisch eingespielt, muss er hier eingetragen werden (bei allen eingetippten Kulturen)." sqref="G20">
      <formula1>0</formula1>
      <formula2>500</formula2>
    </dataValidation>
    <dataValidation type="list" operator="equal" allowBlank="1" showInputMessage="1" showErrorMessage="1" sqref="V27">
      <formula1>Liste_ja</formula1>
    </dataValidation>
    <dataValidation type="list" allowBlank="1" sqref="C20:D25">
      <formula1>Liste_GL_Kulturen</formula1>
    </dataValidation>
    <dataValidation type="list" allowBlank="1" showInputMessage="1" showErrorMessage="1" sqref="C5:C18 D5:D14 D17:D18">
      <formula1>Liste_Kulturen</formula1>
    </dataValidation>
    <dataValidation type="whole" allowBlank="1" showInputMessage="1" showErrorMessage="1" promptTitle="Hinweis" prompt="Der P-Bedarfswert kann hier auf die Ertrags- und Versorgungssituation angepasst, oder muss eingegeben werden, wenn kein Wert vorgegeben ist." sqref="J20:J25">
      <formula1>0</formula1>
      <formula2>180</formula2>
    </dataValidation>
    <dataValidation type="whole" allowBlank="1" showInputMessage="1" showErrorMessage="1" promptTitle="Hinweis" prompt="Der P-Bedarfswert kann hier auf die Ertrags- und Versorgungssituation angepasst, oder muss eingegeben werden, wenn kein Wert vorgegeben ist." sqref="J5:J18">
      <formula1>0</formula1>
      <formula2>205</formula2>
    </dataValidation>
  </dataValidations>
  <hyperlinks>
    <hyperlink ref="J1" location="Mineral!B3" display="◄"/>
    <hyperlink ref="L1" location="Ergebnis!H2" display="  ►"/>
    <hyperlink ref="J1:K1" location="Betrieb!B3" display="◄"/>
    <hyperlink ref="L1:M1" location="Tiere!H2" display="  ►"/>
  </hyperlinks>
  <printOptions horizontalCentered="1" verticalCentered="1"/>
  <pageMargins left="0.51181102362204722" right="0.43307086614173229" top="0.39370078740157483" bottom="0.39370078740157483" header="0.31496062992125984" footer="0.23622047244094491"/>
  <pageSetup paperSize="9" scale="75" firstPageNumber="0" orientation="landscape" blackAndWhite="1" horizontalDpi="300" verticalDpi="300"/>
  <headerFooter alignWithMargins="0">
    <oddHeader>&amp;R&amp;G</oddHeader>
    <oddFooter>&amp;L&amp;F&amp;C&amp;A&amp;R&amp;P von &amp;N</oddFooter>
  </headerFooter>
  <legacy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IV37"/>
  <sheetViews>
    <sheetView showZeros="0" zoomScale="80" zoomScaleNormal="80" zoomScalePageLayoutView="80" workbookViewId="0">
      <selection activeCell="N1" sqref="N1:P1"/>
    </sheetView>
  </sheetViews>
  <sheetFormatPr baseColWidth="10" defaultColWidth="12.7109375" defaultRowHeight="12"/>
  <cols>
    <col min="1" max="1" width="2.28515625" style="510" customWidth="1"/>
    <col min="2" max="2" width="23" style="510" customWidth="1"/>
    <col min="3" max="3" width="7.42578125" style="510" customWidth="1"/>
    <col min="4" max="4" width="8.42578125" style="510" customWidth="1"/>
    <col min="5" max="5" width="9.42578125" style="510" customWidth="1"/>
    <col min="6" max="6" width="8.42578125" style="510" customWidth="1"/>
    <col min="7" max="7" width="8.140625" style="510" customWidth="1"/>
    <col min="8" max="8" width="7.42578125" style="510" customWidth="1"/>
    <col min="9" max="9" width="9.28515625" style="510" customWidth="1"/>
    <col min="10" max="10" width="8.85546875" style="510" customWidth="1"/>
    <col min="11" max="14" width="6.7109375" style="510" customWidth="1"/>
    <col min="15" max="19" width="8.85546875" style="510" customWidth="1"/>
    <col min="20" max="21" width="7.7109375" style="510" customWidth="1"/>
    <col min="22" max="24" width="7.42578125" style="510" customWidth="1"/>
    <col min="25" max="25" width="7.140625" style="510" customWidth="1"/>
    <col min="26" max="26" width="2.85546875" style="510" customWidth="1"/>
    <col min="27" max="27" width="86.85546875" style="510" customWidth="1"/>
    <col min="28" max="28" width="10.42578125" style="510" customWidth="1"/>
    <col min="29" max="16384" width="12.7109375" style="510"/>
  </cols>
  <sheetData>
    <row r="1" spans="1:256" ht="28.5" customHeight="1">
      <c r="A1" s="511"/>
      <c r="B1" s="512" t="s">
        <v>438</v>
      </c>
      <c r="C1" s="513"/>
      <c r="D1" s="514"/>
      <c r="E1" s="514"/>
      <c r="F1" s="514"/>
      <c r="G1" s="514"/>
      <c r="H1" s="514"/>
      <c r="I1" s="514"/>
      <c r="J1" s="514"/>
      <c r="K1" s="514"/>
      <c r="L1" s="514"/>
      <c r="M1" s="514"/>
      <c r="N1" s="3069" t="s">
        <v>413</v>
      </c>
      <c r="O1" s="3069"/>
      <c r="P1" s="3069"/>
      <c r="Q1" s="3069" t="s">
        <v>381</v>
      </c>
      <c r="R1" s="3069"/>
      <c r="S1" s="3069"/>
      <c r="T1" s="3070" t="s">
        <v>439</v>
      </c>
      <c r="U1" s="3070"/>
      <c r="V1" s="3070"/>
      <c r="W1" s="3070"/>
      <c r="X1" s="3070"/>
      <c r="Y1" s="515"/>
      <c r="Z1"/>
      <c r="AA1" s="516" t="s">
        <v>440</v>
      </c>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s="511"/>
      <c r="B2" s="513"/>
      <c r="C2" s="513"/>
      <c r="D2" s="514"/>
      <c r="E2" s="514"/>
      <c r="F2" s="514"/>
      <c r="G2" s="514"/>
      <c r="H2" s="514"/>
      <c r="I2" s="517" t="s">
        <v>441</v>
      </c>
      <c r="J2" s="518"/>
      <c r="K2" s="514"/>
      <c r="L2" s="519" t="s">
        <v>442</v>
      </c>
      <c r="M2" s="514"/>
      <c r="N2" s="514"/>
      <c r="O2" s="514"/>
      <c r="P2" s="514"/>
      <c r="Q2" s="514"/>
      <c r="R2" s="514"/>
      <c r="S2" s="514"/>
      <c r="T2" s="3070"/>
      <c r="U2" s="3070"/>
      <c r="V2" s="3070"/>
      <c r="W2" s="3070"/>
      <c r="X2" s="3070"/>
      <c r="Y2" s="515"/>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526" customFormat="1" ht="25.5" customHeight="1">
      <c r="A3" s="511"/>
      <c r="B3" s="3071" t="s">
        <v>443</v>
      </c>
      <c r="C3" s="3071"/>
      <c r="D3" s="3071"/>
      <c r="E3" s="3071"/>
      <c r="F3" s="3071"/>
      <c r="G3" s="3071"/>
      <c r="H3" s="3071"/>
      <c r="I3" s="3072" t="s">
        <v>444</v>
      </c>
      <c r="J3" s="3073" t="s">
        <v>445</v>
      </c>
      <c r="K3" s="521" t="s">
        <v>446</v>
      </c>
      <c r="L3" s="521" t="s">
        <v>447</v>
      </c>
      <c r="M3" s="521" t="s">
        <v>446</v>
      </c>
      <c r="N3" s="521" t="s">
        <v>447</v>
      </c>
      <c r="O3" s="522" t="s">
        <v>448</v>
      </c>
      <c r="P3" s="523" t="s">
        <v>449</v>
      </c>
      <c r="Q3" s="523" t="s">
        <v>450</v>
      </c>
      <c r="R3" s="522" t="s">
        <v>46</v>
      </c>
      <c r="S3" s="3074" t="s">
        <v>451</v>
      </c>
      <c r="T3" s="3074"/>
      <c r="U3" s="3074"/>
      <c r="V3" s="3075" t="s">
        <v>452</v>
      </c>
      <c r="W3" s="3075"/>
      <c r="X3" s="524"/>
      <c r="Y3" s="525"/>
      <c r="AA3" s="527" t="s">
        <v>453</v>
      </c>
    </row>
    <row r="4" spans="1:256" ht="20.25" customHeight="1">
      <c r="A4" s="511"/>
      <c r="B4" s="528" t="s">
        <v>454</v>
      </c>
      <c r="C4" s="529"/>
      <c r="D4" s="529"/>
      <c r="E4" s="529"/>
      <c r="F4" s="529"/>
      <c r="G4" s="530"/>
      <c r="H4" s="531" t="s">
        <v>62</v>
      </c>
      <c r="I4" s="3072"/>
      <c r="J4" s="3072"/>
      <c r="K4" s="3076" t="s">
        <v>455</v>
      </c>
      <c r="L4" s="3076"/>
      <c r="M4" s="3077" t="s">
        <v>456</v>
      </c>
      <c r="N4" s="3077"/>
      <c r="O4" s="3073" t="s">
        <v>457</v>
      </c>
      <c r="P4" s="3073"/>
      <c r="Q4" s="3073"/>
      <c r="R4" s="524" t="s">
        <v>25</v>
      </c>
      <c r="S4" s="520" t="s">
        <v>24</v>
      </c>
      <c r="T4" s="520" t="s">
        <v>22</v>
      </c>
      <c r="U4" s="520" t="s">
        <v>23</v>
      </c>
      <c r="V4" s="521" t="s">
        <v>458</v>
      </c>
      <c r="W4" s="520" t="s">
        <v>459</v>
      </c>
      <c r="X4" s="521"/>
      <c r="Y4" s="525"/>
      <c r="AA4" s="532" t="s">
        <v>460</v>
      </c>
      <c r="AE4"/>
    </row>
    <row r="5" spans="1:256" ht="22.5" customHeight="1">
      <c r="A5" s="533">
        <v>1</v>
      </c>
      <c r="B5" s="3079"/>
      <c r="C5" s="3079"/>
      <c r="D5" s="3079"/>
      <c r="E5" s="3079"/>
      <c r="F5" s="3079"/>
      <c r="G5" s="3079"/>
      <c r="H5" s="3079"/>
      <c r="I5" s="1811"/>
      <c r="J5" s="1781">
        <f>Tabelle1!AR5</f>
        <v>0</v>
      </c>
      <c r="K5" s="1477"/>
      <c r="L5" s="1478"/>
      <c r="M5" s="1477"/>
      <c r="N5" s="1478"/>
      <c r="O5" s="1479">
        <f>Tabelle1!AX5</f>
        <v>0</v>
      </c>
      <c r="P5" s="1479">
        <f>Tabelle1!BI5</f>
        <v>0</v>
      </c>
      <c r="Q5" s="1479">
        <f>Tabelle1!BO5</f>
        <v>0</v>
      </c>
      <c r="R5" s="1480">
        <f>Tabelle1!BB5</f>
        <v>0</v>
      </c>
      <c r="S5" s="1480">
        <f>Tabelle1!AY5</f>
        <v>0</v>
      </c>
      <c r="T5" s="1480">
        <f>Tabelle1!AZ5</f>
        <v>0</v>
      </c>
      <c r="U5" s="1480">
        <f>Tabelle1!BA5</f>
        <v>0</v>
      </c>
      <c r="V5" s="1480">
        <f>Tabelle1!CA5</f>
        <v>0</v>
      </c>
      <c r="W5" s="1480">
        <f>Tabelle1!CG5</f>
        <v>0</v>
      </c>
      <c r="X5" s="1480"/>
      <c r="Y5" s="525"/>
      <c r="AA5" s="534" t="s">
        <v>461</v>
      </c>
      <c r="AE5"/>
    </row>
    <row r="6" spans="1:256" ht="22.5" customHeight="1">
      <c r="A6" s="533">
        <v>2</v>
      </c>
      <c r="B6" s="3079"/>
      <c r="C6" s="3079"/>
      <c r="D6" s="3079"/>
      <c r="E6" s="3079"/>
      <c r="F6" s="3079"/>
      <c r="G6" s="3079"/>
      <c r="H6" s="3079"/>
      <c r="I6" s="1811"/>
      <c r="J6" s="1781">
        <f>Tabelle1!AR6</f>
        <v>0</v>
      </c>
      <c r="K6" s="1477"/>
      <c r="L6" s="1478"/>
      <c r="M6" s="1477"/>
      <c r="N6" s="1478"/>
      <c r="O6" s="1479">
        <f>Tabelle1!AX6</f>
        <v>0</v>
      </c>
      <c r="P6" s="1479">
        <f>Tabelle1!BI6</f>
        <v>0</v>
      </c>
      <c r="Q6" s="1479">
        <f>Tabelle1!BO6</f>
        <v>0</v>
      </c>
      <c r="R6" s="1480">
        <f>Tabelle1!BB6</f>
        <v>0</v>
      </c>
      <c r="S6" s="1480">
        <f>Tabelle1!AY6</f>
        <v>0</v>
      </c>
      <c r="T6" s="1480">
        <f>Tabelle1!AZ6</f>
        <v>0</v>
      </c>
      <c r="U6" s="1480">
        <f>Tabelle1!BA6</f>
        <v>0</v>
      </c>
      <c r="V6" s="1480">
        <f>Tabelle1!CA6</f>
        <v>0</v>
      </c>
      <c r="W6" s="1480">
        <f>Tabelle1!CG6</f>
        <v>0</v>
      </c>
      <c r="X6" s="1480"/>
      <c r="Y6" s="525"/>
      <c r="AA6" s="535" t="s">
        <v>462</v>
      </c>
      <c r="AE6"/>
    </row>
    <row r="7" spans="1:256" ht="22.5" customHeight="1">
      <c r="A7" s="533">
        <v>3</v>
      </c>
      <c r="B7" s="3079"/>
      <c r="C7" s="3079"/>
      <c r="D7" s="3079"/>
      <c r="E7" s="3079"/>
      <c r="F7" s="3079"/>
      <c r="G7" s="3079"/>
      <c r="H7" s="3079"/>
      <c r="I7" s="1811"/>
      <c r="J7" s="1781">
        <f>Tabelle1!AR7</f>
        <v>0</v>
      </c>
      <c r="K7" s="1477"/>
      <c r="L7" s="1478"/>
      <c r="M7" s="1477"/>
      <c r="N7" s="1478"/>
      <c r="O7" s="1479">
        <f>Tabelle1!AX7</f>
        <v>0</v>
      </c>
      <c r="P7" s="1479">
        <f>Tabelle1!BI7</f>
        <v>0</v>
      </c>
      <c r="Q7" s="1479">
        <f>Tabelle1!BO7</f>
        <v>0</v>
      </c>
      <c r="R7" s="1480">
        <f>Tabelle1!BB7</f>
        <v>0</v>
      </c>
      <c r="S7" s="1480">
        <f>Tabelle1!AY7</f>
        <v>0</v>
      </c>
      <c r="T7" s="1480">
        <f>Tabelle1!AZ7</f>
        <v>0</v>
      </c>
      <c r="U7" s="1480">
        <f>Tabelle1!BA7</f>
        <v>0</v>
      </c>
      <c r="V7" s="1480">
        <f>Tabelle1!CA7</f>
        <v>0</v>
      </c>
      <c r="W7" s="1480">
        <f>Tabelle1!CG7</f>
        <v>0</v>
      </c>
      <c r="X7" s="1480"/>
      <c r="Y7" s="525"/>
      <c r="AA7"/>
      <c r="AE7"/>
    </row>
    <row r="8" spans="1:256" ht="22.5" customHeight="1">
      <c r="A8" s="533">
        <v>4</v>
      </c>
      <c r="B8" s="3079"/>
      <c r="C8" s="3079"/>
      <c r="D8" s="3079"/>
      <c r="E8" s="3079"/>
      <c r="F8" s="3079"/>
      <c r="G8" s="3079"/>
      <c r="H8" s="3079"/>
      <c r="I8" s="1811"/>
      <c r="J8" s="1781">
        <f>Tabelle1!AR8</f>
        <v>0</v>
      </c>
      <c r="K8" s="1477"/>
      <c r="L8" s="1478"/>
      <c r="M8" s="1477"/>
      <c r="N8" s="1478"/>
      <c r="O8" s="1479">
        <f>Tabelle1!AX8</f>
        <v>0</v>
      </c>
      <c r="P8" s="1479">
        <f>Tabelle1!BI8</f>
        <v>0</v>
      </c>
      <c r="Q8" s="1479">
        <f>Tabelle1!BO8</f>
        <v>0</v>
      </c>
      <c r="R8" s="1480">
        <f>Tabelle1!BB8</f>
        <v>0</v>
      </c>
      <c r="S8" s="1480">
        <f>Tabelle1!AY8</f>
        <v>0</v>
      </c>
      <c r="T8" s="1480">
        <f>Tabelle1!AZ8</f>
        <v>0</v>
      </c>
      <c r="U8" s="1480">
        <f>Tabelle1!BA8</f>
        <v>0</v>
      </c>
      <c r="V8" s="1480">
        <f>Tabelle1!CA8</f>
        <v>0</v>
      </c>
      <c r="W8" s="1480">
        <f>Tabelle1!CG8</f>
        <v>0</v>
      </c>
      <c r="X8" s="1480"/>
      <c r="Y8" s="525"/>
      <c r="AA8" s="532" t="s">
        <v>463</v>
      </c>
      <c r="AE8"/>
    </row>
    <row r="9" spans="1:256" ht="22.5" customHeight="1">
      <c r="A9" s="533">
        <v>5</v>
      </c>
      <c r="B9" s="3079"/>
      <c r="C9" s="3079"/>
      <c r="D9" s="3079"/>
      <c r="E9" s="3079"/>
      <c r="F9" s="3079"/>
      <c r="G9" s="3079"/>
      <c r="H9" s="3079"/>
      <c r="I9" s="1811"/>
      <c r="J9" s="1781">
        <f>Tabelle1!AR9</f>
        <v>0</v>
      </c>
      <c r="K9" s="1477"/>
      <c r="L9" s="1478"/>
      <c r="M9" s="1477"/>
      <c r="N9" s="1478"/>
      <c r="O9" s="1479">
        <f>Tabelle1!AX9</f>
        <v>0</v>
      </c>
      <c r="P9" s="1479">
        <f>Tabelle1!BI9</f>
        <v>0</v>
      </c>
      <c r="Q9" s="1479">
        <f>Tabelle1!BO9</f>
        <v>0</v>
      </c>
      <c r="R9" s="1480">
        <f>Tabelle1!BB9</f>
        <v>0</v>
      </c>
      <c r="S9" s="1480">
        <f>Tabelle1!AY9</f>
        <v>0</v>
      </c>
      <c r="T9" s="1480">
        <f>Tabelle1!AZ9</f>
        <v>0</v>
      </c>
      <c r="U9" s="1480">
        <f>Tabelle1!BA9</f>
        <v>0</v>
      </c>
      <c r="V9" s="1480">
        <f>Tabelle1!CA9</f>
        <v>0</v>
      </c>
      <c r="W9" s="1480">
        <f>Tabelle1!CG9</f>
        <v>0</v>
      </c>
      <c r="X9" s="1480"/>
      <c r="Y9" s="525"/>
      <c r="AA9" s="527" t="s">
        <v>464</v>
      </c>
      <c r="AE9"/>
    </row>
    <row r="10" spans="1:256" ht="22.5" customHeight="1">
      <c r="A10" s="533">
        <v>6</v>
      </c>
      <c r="B10" s="3079"/>
      <c r="C10" s="3079"/>
      <c r="D10" s="3079"/>
      <c r="E10" s="3079"/>
      <c r="F10" s="3079"/>
      <c r="G10" s="3079"/>
      <c r="H10" s="3079"/>
      <c r="I10" s="1811"/>
      <c r="J10" s="1781">
        <f>Tabelle1!AR10</f>
        <v>0</v>
      </c>
      <c r="K10" s="1477"/>
      <c r="L10" s="1478"/>
      <c r="M10" s="1477"/>
      <c r="N10" s="1478"/>
      <c r="O10" s="1479">
        <f>Tabelle1!AX10</f>
        <v>0</v>
      </c>
      <c r="P10" s="1479">
        <f>Tabelle1!BI10</f>
        <v>0</v>
      </c>
      <c r="Q10" s="1479">
        <f>Tabelle1!BO10</f>
        <v>0</v>
      </c>
      <c r="R10" s="1480">
        <f>Tabelle1!BB10</f>
        <v>0</v>
      </c>
      <c r="S10" s="1480">
        <f>Tabelle1!AY10</f>
        <v>0</v>
      </c>
      <c r="T10" s="1480">
        <f>Tabelle1!AZ10</f>
        <v>0</v>
      </c>
      <c r="U10" s="1480">
        <f>Tabelle1!BA10</f>
        <v>0</v>
      </c>
      <c r="V10" s="1480">
        <f>Tabelle1!CA10</f>
        <v>0</v>
      </c>
      <c r="W10" s="1480">
        <f>Tabelle1!CG10</f>
        <v>0</v>
      </c>
      <c r="X10" s="1480"/>
      <c r="Y10" s="525"/>
      <c r="AA10" s="527" t="s">
        <v>465</v>
      </c>
      <c r="AE10"/>
    </row>
    <row r="11" spans="1:256" ht="22.5" customHeight="1">
      <c r="A11" s="533">
        <v>7</v>
      </c>
      <c r="B11" s="3079"/>
      <c r="C11" s="3079"/>
      <c r="D11" s="3079"/>
      <c r="E11" s="3079"/>
      <c r="F11" s="3079"/>
      <c r="G11" s="3079"/>
      <c r="H11" s="3079"/>
      <c r="I11" s="1811"/>
      <c r="J11" s="1781">
        <f>Tabelle1!AR11</f>
        <v>0</v>
      </c>
      <c r="K11" s="1477"/>
      <c r="L11" s="1478"/>
      <c r="M11" s="1477"/>
      <c r="N11" s="1478"/>
      <c r="O11" s="1479">
        <f>Tabelle1!AX11</f>
        <v>0</v>
      </c>
      <c r="P11" s="1479">
        <f>Tabelle1!BI11</f>
        <v>0</v>
      </c>
      <c r="Q11" s="1479">
        <f>Tabelle1!BO11</f>
        <v>0</v>
      </c>
      <c r="R11" s="1480">
        <f>Tabelle1!BB11</f>
        <v>0</v>
      </c>
      <c r="S11" s="1480">
        <f>Tabelle1!AY11</f>
        <v>0</v>
      </c>
      <c r="T11" s="1480">
        <f>Tabelle1!AZ11</f>
        <v>0</v>
      </c>
      <c r="U11" s="1480">
        <f>Tabelle1!BA11</f>
        <v>0</v>
      </c>
      <c r="V11" s="1480">
        <f>Tabelle1!CA11</f>
        <v>0</v>
      </c>
      <c r="W11" s="1480">
        <f>Tabelle1!CG11</f>
        <v>0</v>
      </c>
      <c r="X11" s="1480"/>
      <c r="Y11" s="525"/>
      <c r="AA11" s="527" t="s">
        <v>466</v>
      </c>
      <c r="AE11"/>
    </row>
    <row r="12" spans="1:256" ht="22.5" customHeight="1">
      <c r="A12" s="533">
        <v>8</v>
      </c>
      <c r="B12" s="3079"/>
      <c r="C12" s="3079"/>
      <c r="D12" s="3079"/>
      <c r="E12" s="3079"/>
      <c r="F12" s="3079"/>
      <c r="G12" s="3079"/>
      <c r="H12" s="3079"/>
      <c r="I12" s="1811"/>
      <c r="J12" s="1781">
        <f>Tabelle1!AR12</f>
        <v>0</v>
      </c>
      <c r="K12" s="1477"/>
      <c r="L12" s="1478"/>
      <c r="M12" s="1477"/>
      <c r="N12" s="1478"/>
      <c r="O12" s="1479">
        <f>Tabelle1!AX12</f>
        <v>0</v>
      </c>
      <c r="P12" s="1479">
        <f>Tabelle1!BI12</f>
        <v>0</v>
      </c>
      <c r="Q12" s="1479">
        <f>Tabelle1!BO12</f>
        <v>0</v>
      </c>
      <c r="R12" s="1480">
        <f>Tabelle1!BB12</f>
        <v>0</v>
      </c>
      <c r="S12" s="1480">
        <f>Tabelle1!AY12</f>
        <v>0</v>
      </c>
      <c r="T12" s="1480">
        <f>Tabelle1!AZ12</f>
        <v>0</v>
      </c>
      <c r="U12" s="1480">
        <f>Tabelle1!BA12</f>
        <v>0</v>
      </c>
      <c r="V12" s="1480">
        <f>Tabelle1!CA12</f>
        <v>0</v>
      </c>
      <c r="W12" s="1480">
        <f>Tabelle1!CG12</f>
        <v>0</v>
      </c>
      <c r="X12" s="1480"/>
      <c r="Y12" s="525"/>
      <c r="AA12" s="536" t="s">
        <v>467</v>
      </c>
      <c r="AE12" s="537"/>
    </row>
    <row r="13" spans="1:256" ht="22.5" customHeight="1">
      <c r="A13" s="533">
        <v>9</v>
      </c>
      <c r="B13" s="3078"/>
      <c r="C13" s="3078"/>
      <c r="D13" s="3078"/>
      <c r="E13" s="3078"/>
      <c r="F13" s="3078"/>
      <c r="G13" s="3078"/>
      <c r="H13" s="3078"/>
      <c r="I13" s="1780"/>
      <c r="J13" s="1781">
        <f>Tabelle1!AR13</f>
        <v>0</v>
      </c>
      <c r="K13" s="1477"/>
      <c r="L13" s="1478"/>
      <c r="M13" s="1477"/>
      <c r="N13" s="1478"/>
      <c r="O13" s="1479">
        <f>Tabelle1!AX13</f>
        <v>0</v>
      </c>
      <c r="P13" s="1479">
        <f>Tabelle1!BI13</f>
        <v>0</v>
      </c>
      <c r="Q13" s="1479">
        <f>Tabelle1!BO13</f>
        <v>0</v>
      </c>
      <c r="R13" s="1480">
        <f>Tabelle1!BB13</f>
        <v>0</v>
      </c>
      <c r="S13" s="1480">
        <f>Tabelle1!AY13</f>
        <v>0</v>
      </c>
      <c r="T13" s="1480">
        <f>Tabelle1!AZ13</f>
        <v>0</v>
      </c>
      <c r="U13" s="1480">
        <f>Tabelle1!BA13</f>
        <v>0</v>
      </c>
      <c r="V13" s="1480">
        <f>Tabelle1!CA13</f>
        <v>0</v>
      </c>
      <c r="W13" s="1480">
        <f>Tabelle1!CG13</f>
        <v>0</v>
      </c>
      <c r="X13" s="1480"/>
      <c r="Y13" s="525"/>
      <c r="AA13" s="527" t="s">
        <v>468</v>
      </c>
    </row>
    <row r="14" spans="1:256" ht="22.5" customHeight="1">
      <c r="A14" s="533">
        <v>10</v>
      </c>
      <c r="B14" s="3078"/>
      <c r="C14" s="3078"/>
      <c r="D14" s="3078"/>
      <c r="E14" s="3078"/>
      <c r="F14" s="3078"/>
      <c r="G14" s="3078"/>
      <c r="H14" s="3078"/>
      <c r="I14" s="1780"/>
      <c r="J14" s="1781">
        <f>Tabelle1!AR14</f>
        <v>0</v>
      </c>
      <c r="K14" s="1477"/>
      <c r="L14" s="1478"/>
      <c r="M14" s="1477"/>
      <c r="N14" s="1478"/>
      <c r="O14" s="1479">
        <f>Tabelle1!AX14</f>
        <v>0</v>
      </c>
      <c r="P14" s="1479">
        <f>Tabelle1!BI14</f>
        <v>0</v>
      </c>
      <c r="Q14" s="1479">
        <f>Tabelle1!BO14</f>
        <v>0</v>
      </c>
      <c r="R14" s="1480">
        <f>Tabelle1!BB14</f>
        <v>0</v>
      </c>
      <c r="S14" s="1480">
        <f>Tabelle1!AY14</f>
        <v>0</v>
      </c>
      <c r="T14" s="1480">
        <f>Tabelle1!AZ14</f>
        <v>0</v>
      </c>
      <c r="U14" s="1480">
        <f>Tabelle1!BA14</f>
        <v>0</v>
      </c>
      <c r="V14" s="1480">
        <f>Tabelle1!CA14</f>
        <v>0</v>
      </c>
      <c r="W14" s="1480">
        <f>Tabelle1!CG14</f>
        <v>0</v>
      </c>
      <c r="X14" s="1480"/>
      <c r="Y14" s="525"/>
      <c r="AA14" s="538" t="s">
        <v>469</v>
      </c>
    </row>
    <row r="15" spans="1:256" ht="22.5" customHeight="1">
      <c r="A15" s="533">
        <v>11</v>
      </c>
      <c r="B15" s="3078"/>
      <c r="C15" s="3078"/>
      <c r="D15" s="3078"/>
      <c r="E15" s="3078"/>
      <c r="F15" s="3078"/>
      <c r="G15" s="3078"/>
      <c r="H15" s="3078"/>
      <c r="I15" s="1780"/>
      <c r="J15" s="1781">
        <f>Tabelle1!AR15</f>
        <v>0</v>
      </c>
      <c r="K15" s="1477"/>
      <c r="L15" s="1478"/>
      <c r="M15" s="1477"/>
      <c r="N15" s="1478"/>
      <c r="O15" s="1479">
        <f>Tabelle1!AX15</f>
        <v>0</v>
      </c>
      <c r="P15" s="1479">
        <f>Tabelle1!BI15</f>
        <v>0</v>
      </c>
      <c r="Q15" s="1479">
        <f>Tabelle1!BO15</f>
        <v>0</v>
      </c>
      <c r="R15" s="1480">
        <f>Tabelle1!BB15</f>
        <v>0</v>
      </c>
      <c r="S15" s="1480">
        <f>Tabelle1!AY15</f>
        <v>0</v>
      </c>
      <c r="T15" s="1480">
        <f>Tabelle1!AZ15</f>
        <v>0</v>
      </c>
      <c r="U15" s="1480">
        <f>Tabelle1!BA15</f>
        <v>0</v>
      </c>
      <c r="V15" s="1480">
        <f>Tabelle1!CA15</f>
        <v>0</v>
      </c>
      <c r="W15" s="1480">
        <f>Tabelle1!CG15</f>
        <v>0</v>
      </c>
      <c r="X15" s="1480"/>
      <c r="Y15" s="525"/>
      <c r="AA15" s="539" t="s">
        <v>470</v>
      </c>
    </row>
    <row r="16" spans="1:256" ht="22.5" customHeight="1">
      <c r="A16" s="533">
        <v>12</v>
      </c>
      <c r="B16" s="3078"/>
      <c r="C16" s="3078"/>
      <c r="D16" s="3078"/>
      <c r="E16" s="3078"/>
      <c r="F16" s="3078"/>
      <c r="G16" s="3078"/>
      <c r="H16" s="3078"/>
      <c r="I16" s="1780"/>
      <c r="J16" s="1781">
        <f>Tabelle1!AR16</f>
        <v>0</v>
      </c>
      <c r="K16" s="1477"/>
      <c r="L16" s="1478"/>
      <c r="M16" s="1477"/>
      <c r="N16" s="1478"/>
      <c r="O16" s="1479">
        <f>Tabelle1!AX16</f>
        <v>0</v>
      </c>
      <c r="P16" s="1479">
        <f>Tabelle1!BI16</f>
        <v>0</v>
      </c>
      <c r="Q16" s="1479">
        <f>Tabelle1!BO16</f>
        <v>0</v>
      </c>
      <c r="R16" s="1480">
        <f>Tabelle1!BB16</f>
        <v>0</v>
      </c>
      <c r="S16" s="1480">
        <f>Tabelle1!AY16</f>
        <v>0</v>
      </c>
      <c r="T16" s="1480">
        <f>Tabelle1!AZ16</f>
        <v>0</v>
      </c>
      <c r="U16" s="1480">
        <f>Tabelle1!BA16</f>
        <v>0</v>
      </c>
      <c r="V16" s="1480">
        <f>Tabelle1!CA16</f>
        <v>0</v>
      </c>
      <c r="W16" s="1480">
        <f>Tabelle1!CG16</f>
        <v>0</v>
      </c>
      <c r="X16" s="1480"/>
      <c r="Y16" s="525"/>
      <c r="AA16" s="536" t="s">
        <v>471</v>
      </c>
    </row>
    <row r="17" spans="1:32" ht="22.5" customHeight="1">
      <c r="A17" s="533">
        <v>13</v>
      </c>
      <c r="B17" s="3078"/>
      <c r="C17" s="3078"/>
      <c r="D17" s="3078"/>
      <c r="E17" s="3078"/>
      <c r="F17" s="3078"/>
      <c r="G17" s="3078"/>
      <c r="H17" s="3078"/>
      <c r="I17" s="1780"/>
      <c r="J17" s="1781">
        <f>Tabelle1!AR17</f>
        <v>0</v>
      </c>
      <c r="K17" s="1477"/>
      <c r="L17" s="1478"/>
      <c r="M17" s="1477"/>
      <c r="N17" s="1478"/>
      <c r="O17" s="1479">
        <f>Tabelle1!AX17</f>
        <v>0</v>
      </c>
      <c r="P17" s="1479">
        <f>Tabelle1!BI17</f>
        <v>0</v>
      </c>
      <c r="Q17" s="1479">
        <f>Tabelle1!BO17</f>
        <v>0</v>
      </c>
      <c r="R17" s="1480">
        <f>Tabelle1!BB17</f>
        <v>0</v>
      </c>
      <c r="S17" s="1480">
        <f>Tabelle1!AY17</f>
        <v>0</v>
      </c>
      <c r="T17" s="1480">
        <f>Tabelle1!AZ17</f>
        <v>0</v>
      </c>
      <c r="U17" s="1480">
        <f>Tabelle1!BA17</f>
        <v>0</v>
      </c>
      <c r="V17" s="1480">
        <f>Tabelle1!CA17</f>
        <v>0</v>
      </c>
      <c r="W17" s="1480">
        <f>Tabelle1!CG17</f>
        <v>0</v>
      </c>
      <c r="X17" s="1480"/>
      <c r="Y17" s="525"/>
      <c r="AA17" s="527" t="s">
        <v>472</v>
      </c>
    </row>
    <row r="18" spans="1:32" ht="22.5" customHeight="1">
      <c r="A18" s="533">
        <v>14</v>
      </c>
      <c r="B18" s="3078"/>
      <c r="C18" s="3078"/>
      <c r="D18" s="3078"/>
      <c r="E18" s="3078"/>
      <c r="F18" s="3078"/>
      <c r="G18" s="3078"/>
      <c r="H18" s="3078"/>
      <c r="I18" s="1780"/>
      <c r="J18" s="1781">
        <f>Tabelle1!AR18</f>
        <v>0</v>
      </c>
      <c r="K18" s="1477"/>
      <c r="L18" s="1478"/>
      <c r="M18" s="1477"/>
      <c r="N18" s="1478"/>
      <c r="O18" s="1479">
        <f>Tabelle1!AX18</f>
        <v>0</v>
      </c>
      <c r="P18" s="1479">
        <f>Tabelle1!BI18</f>
        <v>0</v>
      </c>
      <c r="Q18" s="1479">
        <f>Tabelle1!BO18</f>
        <v>0</v>
      </c>
      <c r="R18" s="1480">
        <f>Tabelle1!BB18</f>
        <v>0</v>
      </c>
      <c r="S18" s="1480">
        <f>Tabelle1!AY18</f>
        <v>0</v>
      </c>
      <c r="T18" s="1480">
        <f>Tabelle1!AZ18</f>
        <v>0</v>
      </c>
      <c r="U18" s="1480">
        <f>Tabelle1!BA18</f>
        <v>0</v>
      </c>
      <c r="V18" s="1480">
        <f>Tabelle1!CA18</f>
        <v>0</v>
      </c>
      <c r="W18" s="1480">
        <f>Tabelle1!CG18</f>
        <v>0</v>
      </c>
      <c r="X18" s="1480"/>
      <c r="Y18" s="525"/>
      <c r="AA18" s="527" t="s">
        <v>1786</v>
      </c>
    </row>
    <row r="19" spans="1:32" ht="22.5" customHeight="1">
      <c r="A19" s="533">
        <v>15</v>
      </c>
      <c r="B19" s="3078"/>
      <c r="C19" s="3078"/>
      <c r="D19" s="3078"/>
      <c r="E19" s="3078"/>
      <c r="F19" s="3078"/>
      <c r="G19" s="3078"/>
      <c r="H19" s="3078"/>
      <c r="I19" s="1780"/>
      <c r="J19" s="1781">
        <f>Tabelle1!AR19</f>
        <v>0</v>
      </c>
      <c r="K19" s="1477"/>
      <c r="L19" s="1478"/>
      <c r="M19" s="1477"/>
      <c r="N19" s="1478"/>
      <c r="O19" s="1479">
        <f>Tabelle1!AX19</f>
        <v>0</v>
      </c>
      <c r="P19" s="1479">
        <f>Tabelle1!BI19</f>
        <v>0</v>
      </c>
      <c r="Q19" s="1479">
        <f>Tabelle1!BO19</f>
        <v>0</v>
      </c>
      <c r="R19" s="1480">
        <f>Tabelle1!BB19</f>
        <v>0</v>
      </c>
      <c r="S19" s="1480">
        <f>Tabelle1!AY19</f>
        <v>0</v>
      </c>
      <c r="T19" s="1480">
        <f>Tabelle1!AZ19</f>
        <v>0</v>
      </c>
      <c r="U19" s="1480">
        <f>Tabelle1!BA19</f>
        <v>0</v>
      </c>
      <c r="V19" s="1480">
        <f>Tabelle1!CA19</f>
        <v>0</v>
      </c>
      <c r="W19" s="1480">
        <f>Tabelle1!CG19</f>
        <v>0</v>
      </c>
      <c r="X19" s="1480"/>
      <c r="Y19" s="525"/>
      <c r="AA19" s="527" t="s">
        <v>473</v>
      </c>
    </row>
    <row r="20" spans="1:32" ht="22.5" customHeight="1">
      <c r="A20" s="511"/>
      <c r="B20" s="525"/>
      <c r="C20" s="525"/>
      <c r="D20" s="525"/>
      <c r="E20" s="525"/>
      <c r="F20" s="525"/>
      <c r="G20" s="525"/>
      <c r="H20" s="525"/>
      <c r="I20" s="525"/>
      <c r="J20" s="525"/>
      <c r="K20" s="525"/>
      <c r="L20" s="525"/>
      <c r="M20" s="525"/>
      <c r="N20" s="540" t="s">
        <v>474</v>
      </c>
      <c r="O20" s="1481">
        <f t="shared" ref="O20:W20" si="0">SUM(O5:O19)</f>
        <v>0</v>
      </c>
      <c r="P20" s="1481">
        <f t="shared" si="0"/>
        <v>0</v>
      </c>
      <c r="Q20" s="1481">
        <f t="shared" si="0"/>
        <v>0</v>
      </c>
      <c r="R20" s="1482">
        <f t="shared" si="0"/>
        <v>0</v>
      </c>
      <c r="S20" s="1482">
        <f t="shared" si="0"/>
        <v>0</v>
      </c>
      <c r="T20" s="1482">
        <f t="shared" si="0"/>
        <v>0</v>
      </c>
      <c r="U20" s="1482">
        <f t="shared" si="0"/>
        <v>0</v>
      </c>
      <c r="V20" s="1482">
        <f t="shared" si="0"/>
        <v>0</v>
      </c>
      <c r="W20" s="1482">
        <f t="shared" si="0"/>
        <v>0</v>
      </c>
      <c r="X20" s="1482"/>
      <c r="Y20" s="525"/>
      <c r="AA20" s="527" t="s">
        <v>1787</v>
      </c>
    </row>
    <row r="21" spans="1:32" ht="15" customHeight="1">
      <c r="A21" s="541" t="s">
        <v>476</v>
      </c>
      <c r="B21" s="3080" t="s">
        <v>1731</v>
      </c>
      <c r="C21" s="542" t="s">
        <v>477</v>
      </c>
      <c r="D21" s="543"/>
      <c r="E21" s="525"/>
      <c r="F21" s="525"/>
      <c r="G21" s="525"/>
      <c r="H21" s="525"/>
      <c r="I21" s="525"/>
      <c r="J21" s="525"/>
      <c r="K21" s="525"/>
      <c r="L21" s="525"/>
      <c r="M21" s="525"/>
      <c r="N21" s="525"/>
      <c r="O21" s="525"/>
      <c r="P21" s="525"/>
      <c r="Q21" s="525"/>
      <c r="R21" s="525"/>
      <c r="S21" s="525"/>
      <c r="T21" s="525"/>
      <c r="U21" s="525"/>
      <c r="V21" s="525"/>
      <c r="W21" s="525"/>
      <c r="X21" s="525"/>
      <c r="Y21" s="525"/>
      <c r="AA21" s="527" t="s">
        <v>475</v>
      </c>
    </row>
    <row r="22" spans="1:32" ht="27" customHeight="1">
      <c r="A22" s="525"/>
      <c r="B22" s="3080"/>
      <c r="C22" s="544" t="s">
        <v>177</v>
      </c>
      <c r="D22" s="545" t="s">
        <v>478</v>
      </c>
      <c r="E22" s="546" t="s">
        <v>479</v>
      </c>
      <c r="F22" s="547" t="s">
        <v>480</v>
      </c>
      <c r="G22" s="548" t="s">
        <v>481</v>
      </c>
      <c r="H22" s="549" t="s">
        <v>482</v>
      </c>
      <c r="I22" s="550" t="s">
        <v>483</v>
      </c>
      <c r="J22" s="551" t="s">
        <v>484</v>
      </c>
      <c r="K22" s="550" t="s">
        <v>485</v>
      </c>
      <c r="L22" s="550" t="s">
        <v>486</v>
      </c>
      <c r="M22" s="550" t="s">
        <v>487</v>
      </c>
      <c r="N22" s="541" t="s">
        <v>476</v>
      </c>
      <c r="O22" s="3088" t="s">
        <v>488</v>
      </c>
      <c r="P22" s="3088"/>
      <c r="Q22" s="3088"/>
      <c r="R22" s="3081" t="s">
        <v>489</v>
      </c>
      <c r="S22" s="3081"/>
      <c r="T22" s="3081"/>
      <c r="U22" s="553" t="s">
        <v>168</v>
      </c>
      <c r="V22" s="3081" t="s">
        <v>490</v>
      </c>
      <c r="W22" s="3081"/>
      <c r="X22" s="3081"/>
      <c r="Y22" s="525"/>
      <c r="AA22"/>
    </row>
    <row r="23" spans="1:32" ht="18" customHeight="1">
      <c r="A23" s="525"/>
      <c r="B23" s="554" t="str">
        <f>Tabelle1!C159</f>
        <v>Rindergülle</v>
      </c>
      <c r="C23" s="555">
        <f>Hofdung!G13</f>
        <v>0</v>
      </c>
      <c r="D23" s="556">
        <f>IF($C23=0,0,Hofdung!H13)</f>
        <v>0</v>
      </c>
      <c r="E23" s="557">
        <f>IF($C23=0,0,Hofdung!I13)</f>
        <v>0</v>
      </c>
      <c r="F23" s="557">
        <f>IF($C23=0,0,Hofdung!J13)</f>
        <v>0</v>
      </c>
      <c r="G23" s="557">
        <f>IF($C23=0,0,Hofdung!K13)</f>
        <v>0</v>
      </c>
      <c r="H23" s="558">
        <f>IF($C23=0,0,Hofdung!L13)</f>
        <v>0</v>
      </c>
      <c r="I23" s="559">
        <f>Tabelle1!BI43</f>
        <v>0</v>
      </c>
      <c r="J23" s="559">
        <f>Tabelle1!BN43</f>
        <v>0</v>
      </c>
      <c r="K23" s="559">
        <f>Tabelle1!BO43</f>
        <v>0</v>
      </c>
      <c r="L23" s="559">
        <f>Tabelle1!BJ43</f>
        <v>0</v>
      </c>
      <c r="M23" s="559">
        <f>Tabelle1!BK43</f>
        <v>0</v>
      </c>
      <c r="N23" s="514"/>
      <c r="O23" s="3088"/>
      <c r="P23" s="3088"/>
      <c r="Q23" s="3088"/>
      <c r="R23" s="552" t="s">
        <v>1815</v>
      </c>
      <c r="S23" s="548" t="s">
        <v>1814</v>
      </c>
      <c r="T23" s="552" t="s">
        <v>34</v>
      </c>
      <c r="U23" s="560" t="s">
        <v>108</v>
      </c>
      <c r="V23" s="1839" t="s">
        <v>1815</v>
      </c>
      <c r="W23" s="1840" t="s">
        <v>1814</v>
      </c>
      <c r="X23" s="1839" t="s">
        <v>34</v>
      </c>
      <c r="Y23" s="525"/>
      <c r="AA23" s="527" t="s">
        <v>491</v>
      </c>
    </row>
    <row r="24" spans="1:32" ht="18" customHeight="1">
      <c r="A24" s="525"/>
      <c r="B24" s="554" t="str">
        <f>Tabelle1!C160</f>
        <v>Schweinegülle</v>
      </c>
      <c r="C24" s="555">
        <f>Hofdung!G14</f>
        <v>0</v>
      </c>
      <c r="D24" s="556">
        <f>IF($C24=0,0,Hofdung!H14)</f>
        <v>0</v>
      </c>
      <c r="E24" s="557">
        <f>IF($C24=0,0,Hofdung!I14)</f>
        <v>0</v>
      </c>
      <c r="F24" s="557">
        <f>IF($C24=0,0,Hofdung!J14)</f>
        <v>0</v>
      </c>
      <c r="G24" s="557">
        <f>IF($C24=0,0,Hofdung!K14)</f>
        <v>0</v>
      </c>
      <c r="H24" s="558">
        <f>IF($C24=0,0,Hofdung!L14)</f>
        <v>0</v>
      </c>
      <c r="I24" s="559">
        <f>Tabelle1!BI44</f>
        <v>0</v>
      </c>
      <c r="J24" s="559">
        <f>Tabelle1!BN44</f>
        <v>0</v>
      </c>
      <c r="K24" s="559">
        <f>Tabelle1!BO44</f>
        <v>0</v>
      </c>
      <c r="L24" s="559">
        <f>Tabelle1!BJ44</f>
        <v>0</v>
      </c>
      <c r="M24" s="559">
        <f>Tabelle1!BK44</f>
        <v>0</v>
      </c>
      <c r="N24" s="514"/>
      <c r="O24" s="562" t="s">
        <v>113</v>
      </c>
      <c r="P24" s="563"/>
      <c r="Q24" s="564"/>
      <c r="R24" s="565"/>
      <c r="S24" s="566"/>
      <c r="T24" s="566"/>
      <c r="U24" s="567"/>
      <c r="V24" s="568">
        <f t="shared" ref="V24:X28" si="1">$U24*R24</f>
        <v>0</v>
      </c>
      <c r="W24" s="568">
        <f t="shared" si="1"/>
        <v>0</v>
      </c>
      <c r="X24" s="568">
        <f t="shared" si="1"/>
        <v>0</v>
      </c>
      <c r="Y24" s="525"/>
      <c r="AA24" s="561" t="s">
        <v>492</v>
      </c>
    </row>
    <row r="25" spans="1:32" ht="18" customHeight="1">
      <c r="A25" s="525"/>
      <c r="B25" s="554" t="str">
        <f>Tabelle1!C161</f>
        <v>Geflügelgülle</v>
      </c>
      <c r="C25" s="555">
        <f>Hofdung!G15</f>
        <v>0</v>
      </c>
      <c r="D25" s="556">
        <f>IF($C25=0,0,Hofdung!H15)</f>
        <v>0</v>
      </c>
      <c r="E25" s="557">
        <f>IF($C25=0,0,Hofdung!I15)</f>
        <v>0</v>
      </c>
      <c r="F25" s="557">
        <f>IF($C25=0,0,Hofdung!J15)</f>
        <v>0</v>
      </c>
      <c r="G25" s="557">
        <f>IF($C25=0,0,Hofdung!K15)</f>
        <v>0</v>
      </c>
      <c r="H25" s="558">
        <f>IF($C25=0,0,Hofdung!L15)</f>
        <v>0</v>
      </c>
      <c r="I25" s="559">
        <f>Tabelle1!BI45</f>
        <v>0</v>
      </c>
      <c r="J25" s="559">
        <f>Tabelle1!BN45</f>
        <v>0</v>
      </c>
      <c r="K25" s="559">
        <f>Tabelle1!BO45</f>
        <v>0</v>
      </c>
      <c r="L25" s="559">
        <f>Tabelle1!BJ45</f>
        <v>0</v>
      </c>
      <c r="M25" s="559">
        <f>Tabelle1!BK45</f>
        <v>0</v>
      </c>
      <c r="N25" s="514"/>
      <c r="O25" s="562" t="s">
        <v>117</v>
      </c>
      <c r="P25" s="563"/>
      <c r="Q25" s="564"/>
      <c r="R25" s="569"/>
      <c r="S25" s="569"/>
      <c r="T25" s="569"/>
      <c r="U25" s="570"/>
      <c r="V25" s="568">
        <f t="shared" si="1"/>
        <v>0</v>
      </c>
      <c r="W25" s="568">
        <f t="shared" si="1"/>
        <v>0</v>
      </c>
      <c r="X25" s="568">
        <f t="shared" si="1"/>
        <v>0</v>
      </c>
      <c r="Y25" s="525"/>
      <c r="AA25"/>
    </row>
    <row r="26" spans="1:32" ht="18" customHeight="1">
      <c r="A26" s="525"/>
      <c r="B26" s="554" t="str">
        <f>Tabelle1!C162</f>
        <v>Jauche</v>
      </c>
      <c r="C26" s="555">
        <f>Hofdung!G16</f>
        <v>0</v>
      </c>
      <c r="D26" s="556">
        <f>IF($C26=0,0,Hofdung!H16)</f>
        <v>0</v>
      </c>
      <c r="E26" s="557">
        <f>IF($C26=0,0,Hofdung!I16)</f>
        <v>0</v>
      </c>
      <c r="F26" s="557">
        <f>IF($C26=0,0,Hofdung!J16)</f>
        <v>0</v>
      </c>
      <c r="G26" s="557">
        <f>IF($C26=0,0,Hofdung!K16)</f>
        <v>0</v>
      </c>
      <c r="H26" s="558">
        <f>IF($C26=0,0,Hofdung!L16)</f>
        <v>0</v>
      </c>
      <c r="I26" s="559">
        <f>Tabelle1!BI46</f>
        <v>0</v>
      </c>
      <c r="J26" s="559">
        <f>Tabelle1!BN46</f>
        <v>0</v>
      </c>
      <c r="K26" s="559">
        <f>Tabelle1!BO46</f>
        <v>0</v>
      </c>
      <c r="L26" s="559">
        <f>Tabelle1!BJ46</f>
        <v>0</v>
      </c>
      <c r="M26" s="559">
        <f>Tabelle1!BK46</f>
        <v>0</v>
      </c>
      <c r="N26" s="514"/>
      <c r="O26" s="562" t="s">
        <v>121</v>
      </c>
      <c r="P26" s="563"/>
      <c r="Q26" s="564"/>
      <c r="R26" s="569"/>
      <c r="S26" s="569"/>
      <c r="T26" s="569"/>
      <c r="U26" s="570"/>
      <c r="V26" s="568">
        <f t="shared" si="1"/>
        <v>0</v>
      </c>
      <c r="W26" s="568">
        <f t="shared" si="1"/>
        <v>0</v>
      </c>
      <c r="X26" s="568">
        <f t="shared" si="1"/>
        <v>0</v>
      </c>
      <c r="Y26" s="525"/>
      <c r="AA26" s="571" t="s">
        <v>493</v>
      </c>
    </row>
    <row r="27" spans="1:32" ht="18" customHeight="1">
      <c r="A27" s="525"/>
      <c r="B27" s="554" t="str">
        <f>Tabelle1!C163</f>
        <v xml:space="preserve">Mist  </v>
      </c>
      <c r="C27" s="555">
        <f>Hofdung!G17</f>
        <v>0</v>
      </c>
      <c r="D27" s="556">
        <f>IF($C27=0,0,Hofdung!H17)</f>
        <v>0</v>
      </c>
      <c r="E27" s="557">
        <f>IF($C27=0,0,Hofdung!I17)</f>
        <v>0</v>
      </c>
      <c r="F27" s="557">
        <f>IF($C27=0,0,Hofdung!J17)</f>
        <v>0</v>
      </c>
      <c r="G27" s="557">
        <f>IF($C27=0,0,Hofdung!K17)</f>
        <v>0</v>
      </c>
      <c r="H27" s="558">
        <f>IF($C27=0,0,Hofdung!L17)</f>
        <v>0</v>
      </c>
      <c r="I27" s="559">
        <f>Tabelle1!BI47</f>
        <v>0</v>
      </c>
      <c r="J27" s="559">
        <f>Tabelle1!BN47</f>
        <v>0</v>
      </c>
      <c r="K27" s="559">
        <f>Tabelle1!BO47</f>
        <v>0</v>
      </c>
      <c r="L27" s="559">
        <f>Tabelle1!BJ47</f>
        <v>0</v>
      </c>
      <c r="M27" s="559">
        <f>Tabelle1!BK47</f>
        <v>0</v>
      </c>
      <c r="N27" s="514"/>
      <c r="O27" s="562" t="s">
        <v>22</v>
      </c>
      <c r="P27" s="563"/>
      <c r="Q27" s="564"/>
      <c r="R27" s="569"/>
      <c r="S27" s="569"/>
      <c r="T27" s="569"/>
      <c r="U27" s="570"/>
      <c r="V27" s="568">
        <f t="shared" si="1"/>
        <v>0</v>
      </c>
      <c r="W27" s="568">
        <f t="shared" si="1"/>
        <v>0</v>
      </c>
      <c r="X27" s="568">
        <f t="shared" si="1"/>
        <v>0</v>
      </c>
      <c r="Y27" s="525"/>
      <c r="AA27"/>
    </row>
    <row r="28" spans="1:32" ht="18" customHeight="1">
      <c r="A28" s="525"/>
      <c r="B28" s="554" t="str">
        <f>Tabelle1!C164</f>
        <v>Mist 2</v>
      </c>
      <c r="C28" s="555">
        <f>Hofdung!G18</f>
        <v>0</v>
      </c>
      <c r="D28" s="556">
        <f>IF($C28=0,0,Hofdung!H18)</f>
        <v>0</v>
      </c>
      <c r="E28" s="557">
        <f>IF($C28=0,0,Hofdung!I18)</f>
        <v>0</v>
      </c>
      <c r="F28" s="557">
        <f>IF($C28=0,0,Hofdung!J18)</f>
        <v>0</v>
      </c>
      <c r="G28" s="557">
        <f>IF($C28=0,0,Hofdung!K18)</f>
        <v>0</v>
      </c>
      <c r="H28" s="558">
        <f>IF($C28=0,0,Hofdung!L18)</f>
        <v>0</v>
      </c>
      <c r="I28" s="559">
        <f>Tabelle1!BI48</f>
        <v>0</v>
      </c>
      <c r="J28" s="559">
        <f>Tabelle1!BN48</f>
        <v>0</v>
      </c>
      <c r="K28" s="559">
        <f>Tabelle1!BO48</f>
        <v>0</v>
      </c>
      <c r="L28" s="559">
        <f>Tabelle1!BJ48</f>
        <v>0</v>
      </c>
      <c r="M28" s="559">
        <f>Tabelle1!BK48</f>
        <v>0</v>
      </c>
      <c r="N28" s="514"/>
      <c r="O28" s="562" t="s">
        <v>23</v>
      </c>
      <c r="P28" s="563"/>
      <c r="Q28" s="564"/>
      <c r="R28" s="569"/>
      <c r="S28" s="569"/>
      <c r="T28" s="569"/>
      <c r="U28" s="570"/>
      <c r="V28" s="568">
        <f t="shared" si="1"/>
        <v>0</v>
      </c>
      <c r="W28" s="568">
        <f t="shared" si="1"/>
        <v>0</v>
      </c>
      <c r="X28" s="568">
        <f t="shared" si="1"/>
        <v>0</v>
      </c>
      <c r="Y28" s="525"/>
      <c r="AA28" s="572"/>
    </row>
    <row r="29" spans="1:32" ht="18" customHeight="1">
      <c r="A29" s="525"/>
      <c r="B29" s="573" t="s">
        <v>494</v>
      </c>
      <c r="C29" s="574"/>
      <c r="D29" s="574"/>
      <c r="E29" s="574"/>
      <c r="F29" s="574"/>
      <c r="G29" s="574"/>
      <c r="H29" s="575"/>
      <c r="I29" s="576">
        <f>Tabelle1!CG20</f>
        <v>0</v>
      </c>
      <c r="J29" s="576">
        <f>Tabelle1!CG21</f>
        <v>0</v>
      </c>
      <c r="K29" s="576">
        <f>Tabelle1!CG22</f>
        <v>0</v>
      </c>
      <c r="L29" s="577">
        <f>Tabelle1!CS22</f>
        <v>0</v>
      </c>
      <c r="M29" s="577">
        <f>Tabelle1!CX22</f>
        <v>0</v>
      </c>
      <c r="N29" s="514"/>
      <c r="O29" s="514"/>
      <c r="P29" s="514"/>
      <c r="Q29" s="514"/>
      <c r="R29" s="514"/>
      <c r="S29" s="514"/>
      <c r="T29" s="514"/>
      <c r="U29" s="514"/>
      <c r="V29" s="514"/>
      <c r="W29" s="514"/>
      <c r="X29" s="514"/>
      <c r="Y29" s="525"/>
      <c r="AA29" s="2811" t="s">
        <v>2150</v>
      </c>
      <c r="AB29" s="1240"/>
      <c r="AC29" s="1240"/>
      <c r="AD29" s="1240"/>
      <c r="AE29" s="1240"/>
      <c r="AF29" s="1240"/>
    </row>
    <row r="30" spans="1:32" ht="16.5" customHeight="1">
      <c r="A30" s="525"/>
      <c r="B30" s="514"/>
      <c r="C30" s="514"/>
      <c r="D30" s="514"/>
      <c r="E30" s="514"/>
      <c r="F30" s="514"/>
      <c r="G30" s="514"/>
      <c r="H30" s="514"/>
      <c r="I30" s="514"/>
      <c r="J30" s="514"/>
      <c r="K30" s="514"/>
      <c r="L30" s="514"/>
      <c r="M30" s="514"/>
      <c r="N30" s="514"/>
      <c r="O30" s="514"/>
      <c r="P30" s="525"/>
      <c r="Q30" s="525"/>
      <c r="R30" s="525"/>
      <c r="S30" s="525"/>
      <c r="T30" s="525"/>
      <c r="U30" s="525"/>
      <c r="V30" s="525"/>
      <c r="W30" s="525"/>
      <c r="X30" s="525"/>
      <c r="Y30" s="525"/>
      <c r="AA30" s="3089" t="s">
        <v>2149</v>
      </c>
      <c r="AB30" s="2809"/>
      <c r="AC30" s="2809"/>
      <c r="AD30" s="2809"/>
      <c r="AE30" s="2809"/>
      <c r="AF30" s="2809"/>
    </row>
    <row r="31" spans="1:32" ht="20.25" customHeight="1">
      <c r="A31" s="541" t="s">
        <v>476</v>
      </c>
      <c r="B31" s="578" t="s">
        <v>495</v>
      </c>
      <c r="C31" s="579"/>
      <c r="D31" s="580"/>
      <c r="E31" s="580"/>
      <c r="F31" s="580"/>
      <c r="G31" s="581" t="s">
        <v>496</v>
      </c>
      <c r="H31" s="580"/>
      <c r="I31" s="582"/>
      <c r="J31" s="583"/>
      <c r="K31" s="583"/>
      <c r="L31" s="584" t="s">
        <v>476</v>
      </c>
      <c r="M31" s="585" t="s">
        <v>497</v>
      </c>
      <c r="N31" s="514"/>
      <c r="O31" s="514"/>
      <c r="P31" s="525"/>
      <c r="Q31" s="541" t="s">
        <v>476</v>
      </c>
      <c r="R31" s="586" t="s">
        <v>498</v>
      </c>
      <c r="S31" s="525"/>
      <c r="T31" s="525"/>
      <c r="U31" s="525"/>
      <c r="V31" s="525"/>
      <c r="W31" s="525"/>
      <c r="X31" s="525"/>
      <c r="Y31" s="525"/>
      <c r="AA31" s="3089"/>
      <c r="AB31" s="2809"/>
      <c r="AC31" s="2809"/>
      <c r="AD31" s="2809"/>
      <c r="AE31" s="2809"/>
      <c r="AF31" s="2809"/>
    </row>
    <row r="32" spans="1:32" ht="20.25" customHeight="1">
      <c r="A32" s="587"/>
      <c r="B32" s="3082" t="s">
        <v>499</v>
      </c>
      <c r="C32" s="3082"/>
      <c r="D32" s="3082"/>
      <c r="E32" s="588">
        <f>R20</f>
        <v>0</v>
      </c>
      <c r="F32" s="589"/>
      <c r="G32" s="590">
        <f>IF(Betrieb!E$14=0,0,E32/(Betrieb!E$14))</f>
        <v>0</v>
      </c>
      <c r="H32" s="3083" t="str">
        <f>Tabelle1!DD22</f>
        <v/>
      </c>
      <c r="I32" s="3083"/>
      <c r="J32" s="3083"/>
      <c r="K32" s="3083"/>
      <c r="L32" s="592"/>
      <c r="M32" s="3084" t="s">
        <v>500</v>
      </c>
      <c r="N32" s="3084"/>
      <c r="O32" s="3084"/>
      <c r="P32" s="3085"/>
      <c r="Q32" s="3086" t="s">
        <v>501</v>
      </c>
      <c r="R32" s="3086" t="s">
        <v>502</v>
      </c>
      <c r="S32" s="3086"/>
      <c r="T32" s="3087">
        <f>S20+T20</f>
        <v>0</v>
      </c>
      <c r="U32" s="3086" t="s">
        <v>501</v>
      </c>
      <c r="V32" s="3091" t="str">
        <f>IF(P32=0,"Fehlende Angaben!",IF(P32&gt;=T32,"Bestimmungen eingehalten",IF(P32&lt;T32,"Achtung, für Gülle und Jauche zu gering!",0)))</f>
        <v>Fehlende Angaben!</v>
      </c>
      <c r="W32" s="3091"/>
      <c r="X32" s="3091"/>
      <c r="Y32" s="525"/>
      <c r="AA32" s="2810" t="s">
        <v>2148</v>
      </c>
      <c r="AB32" s="1240"/>
      <c r="AC32" s="1240"/>
      <c r="AD32" s="1240"/>
      <c r="AE32" s="1240"/>
      <c r="AF32" s="1240"/>
    </row>
    <row r="33" spans="1:27" ht="20.25" customHeight="1">
      <c r="A33" s="593"/>
      <c r="B33" s="3082" t="s">
        <v>503</v>
      </c>
      <c r="C33" s="3082"/>
      <c r="D33" s="3082"/>
      <c r="E33" s="594">
        <f>Tabelle1!AX56</f>
        <v>0</v>
      </c>
      <c r="F33" s="589" t="s">
        <v>504</v>
      </c>
      <c r="G33" s="595">
        <f>IF(Betrieb!E$14=0,0,E33/Betrieb!E$14)</f>
        <v>0</v>
      </c>
      <c r="H33" s="3092" t="str">
        <f>IF(G33=0,"LN-Angaben fehlen!",IF(Tiere!G33&lt;=170,"170 kg aus WD ok!","Zuviel Wirtschaftsdünger!"))</f>
        <v>LN-Angaben fehlen!</v>
      </c>
      <c r="I33" s="3092"/>
      <c r="J33" s="3092"/>
      <c r="K33" s="3092"/>
      <c r="L33" s="596"/>
      <c r="M33" s="3084"/>
      <c r="N33" s="3084"/>
      <c r="O33" s="3084"/>
      <c r="P33" s="3085"/>
      <c r="Q33" s="3086"/>
      <c r="R33" s="3086"/>
      <c r="S33" s="3086"/>
      <c r="T33" s="3087"/>
      <c r="U33" s="3086"/>
      <c r="V33" s="3091"/>
      <c r="W33" s="3091"/>
      <c r="X33" s="3091"/>
      <c r="Y33" s="525"/>
      <c r="AA33"/>
    </row>
    <row r="34" spans="1:27" ht="23.25" customHeight="1">
      <c r="A34" s="593"/>
      <c r="B34" s="3082" t="s">
        <v>505</v>
      </c>
      <c r="C34" s="3082"/>
      <c r="D34" s="3082"/>
      <c r="E34" s="597">
        <f>Tabelle1!AX69</f>
        <v>0</v>
      </c>
      <c r="F34" s="589" t="s">
        <v>504</v>
      </c>
      <c r="G34" s="598">
        <f>IF(Betrieb!E$14=0,0,E34/Betrieb!E$14)</f>
        <v>0</v>
      </c>
      <c r="H34" s="3093" t="str">
        <f>Tabelle1!AN21</f>
        <v>Wasserrechtsgesetz eingehalten!</v>
      </c>
      <c r="I34" s="3094"/>
      <c r="J34" s="3094"/>
      <c r="K34" s="3095"/>
      <c r="L34" s="583"/>
      <c r="M34" s="599"/>
      <c r="N34" s="600"/>
      <c r="O34" s="601" t="s">
        <v>506</v>
      </c>
      <c r="P34" s="602"/>
      <c r="Q34" s="591" t="s">
        <v>507</v>
      </c>
      <c r="R34" s="3096" t="str">
        <f>"Mist-Stapelfläche    (bei "&amp;P35&amp;" m Stapelhöhe )"</f>
        <v>Mist-Stapelfläche    (bei 2 m Stapelhöhe )</v>
      </c>
      <c r="S34" s="3096"/>
      <c r="T34" s="3097">
        <f>U20/P35</f>
        <v>0</v>
      </c>
      <c r="U34" s="3086" t="s">
        <v>508</v>
      </c>
      <c r="V34" s="3091" t="str">
        <f>IF(P34=0,"Fehlende Angaben!",IF((P34*P35)&gt;=U20,"Bestimmungen eingehalten","Achtung, Lagerraum für Mist zu gering!"))</f>
        <v>Fehlende Angaben!</v>
      </c>
      <c r="W34" s="3091"/>
      <c r="X34" s="3091"/>
      <c r="Y34" s="525"/>
      <c r="AA34"/>
    </row>
    <row r="35" spans="1:27" ht="20.25" customHeight="1">
      <c r="A35" s="603"/>
      <c r="B35" s="3082" t="s">
        <v>509</v>
      </c>
      <c r="C35" s="3082"/>
      <c r="D35" s="3082"/>
      <c r="E35" s="597">
        <f>N_Bedarf!I29</f>
        <v>0</v>
      </c>
      <c r="F35" s="582"/>
      <c r="G35" s="3090" t="str">
        <f>N_Bedarf!C29</f>
        <v>Der N-Saldo ist ok!</v>
      </c>
      <c r="H35" s="3090"/>
      <c r="I35" s="3090"/>
      <c r="J35" s="3090"/>
      <c r="K35" s="3090"/>
      <c r="L35" s="604"/>
      <c r="M35" s="605"/>
      <c r="N35" s="606"/>
      <c r="O35" s="607" t="s">
        <v>510</v>
      </c>
      <c r="P35" s="608">
        <v>2</v>
      </c>
      <c r="Q35" s="609" t="s">
        <v>511</v>
      </c>
      <c r="R35" s="3096"/>
      <c r="S35" s="3096"/>
      <c r="T35" s="3097"/>
      <c r="U35" s="3086"/>
      <c r="V35" s="3091"/>
      <c r="W35" s="3091"/>
      <c r="X35" s="3091"/>
      <c r="Y35" s="525"/>
      <c r="AA35" s="610"/>
    </row>
    <row r="36" spans="1:27" ht="19.5" customHeight="1">
      <c r="A36" s="603"/>
      <c r="B36" s="611"/>
      <c r="C36" s="612"/>
      <c r="D36" s="612"/>
      <c r="E36" s="612"/>
      <c r="F36" s="612"/>
      <c r="G36" s="612"/>
      <c r="H36" s="612"/>
      <c r="I36" s="612"/>
      <c r="J36" s="612"/>
      <c r="K36" s="612"/>
      <c r="L36" s="612"/>
      <c r="M36" s="612"/>
      <c r="N36" s="612"/>
      <c r="O36" s="612"/>
      <c r="P36" s="612"/>
      <c r="Q36" s="612"/>
      <c r="R36" s="612"/>
      <c r="S36" s="612"/>
      <c r="T36" s="612"/>
      <c r="U36" s="612"/>
      <c r="V36" s="613"/>
      <c r="W36" s="613"/>
      <c r="X36" s="613"/>
      <c r="Y36" s="613"/>
      <c r="AA36" s="614"/>
    </row>
    <row r="37" spans="1:27" ht="21" customHeight="1">
      <c r="A37" s="603"/>
      <c r="B37" s="611" t="s">
        <v>512</v>
      </c>
      <c r="C37" s="612"/>
      <c r="D37" s="612"/>
      <c r="E37" s="612"/>
      <c r="F37" s="612"/>
      <c r="G37" s="612"/>
      <c r="H37" s="612"/>
      <c r="I37" s="612"/>
      <c r="J37" s="612"/>
      <c r="K37" s="612"/>
      <c r="L37" s="612"/>
      <c r="M37" s="612"/>
      <c r="N37" s="612"/>
      <c r="O37" s="612"/>
      <c r="P37" s="612"/>
      <c r="Q37" s="612"/>
      <c r="R37" s="612"/>
      <c r="S37" s="612"/>
      <c r="T37" s="612"/>
      <c r="U37" s="612"/>
      <c r="V37" s="613"/>
      <c r="W37" s="613"/>
      <c r="X37" s="613"/>
      <c r="Y37" s="613"/>
      <c r="AA37" s="614"/>
    </row>
  </sheetData>
  <sheetProtection password="CC3A" sheet="1" objects="1" scenarios="1" formatCells="0" formatRows="0"/>
  <mergeCells count="50">
    <mergeCell ref="AA30:AA31"/>
    <mergeCell ref="G35:K35"/>
    <mergeCell ref="V32:X33"/>
    <mergeCell ref="B33:D33"/>
    <mergeCell ref="H33:K33"/>
    <mergeCell ref="B34:D34"/>
    <mergeCell ref="H34:K34"/>
    <mergeCell ref="R34:S35"/>
    <mergeCell ref="T34:T35"/>
    <mergeCell ref="U34:U35"/>
    <mergeCell ref="V34:X35"/>
    <mergeCell ref="B35:D35"/>
    <mergeCell ref="R22:T22"/>
    <mergeCell ref="V22:X22"/>
    <mergeCell ref="B32:D32"/>
    <mergeCell ref="H32:K32"/>
    <mergeCell ref="M32:O33"/>
    <mergeCell ref="P32:P33"/>
    <mergeCell ref="Q32:Q33"/>
    <mergeCell ref="R32:S33"/>
    <mergeCell ref="T32:T33"/>
    <mergeCell ref="U32:U33"/>
    <mergeCell ref="O22:Q23"/>
    <mergeCell ref="B16:H16"/>
    <mergeCell ref="B17:H17"/>
    <mergeCell ref="B18:H18"/>
    <mergeCell ref="B19:H19"/>
    <mergeCell ref="B21:B22"/>
    <mergeCell ref="B15:H15"/>
    <mergeCell ref="O4:Q4"/>
    <mergeCell ref="B5:H5"/>
    <mergeCell ref="B6:H6"/>
    <mergeCell ref="B7:H7"/>
    <mergeCell ref="B8:H8"/>
    <mergeCell ref="B9:H9"/>
    <mergeCell ref="B10:H10"/>
    <mergeCell ref="B11:H11"/>
    <mergeCell ref="B12:H12"/>
    <mergeCell ref="B13:H13"/>
    <mergeCell ref="B14:H14"/>
    <mergeCell ref="N1:P1"/>
    <mergeCell ref="Q1:S1"/>
    <mergeCell ref="T1:X2"/>
    <mergeCell ref="B3:H3"/>
    <mergeCell ref="I3:I4"/>
    <mergeCell ref="J3:J4"/>
    <mergeCell ref="S3:U3"/>
    <mergeCell ref="V3:W3"/>
    <mergeCell ref="K4:L4"/>
    <mergeCell ref="M4:N4"/>
  </mergeCells>
  <conditionalFormatting sqref="E32">
    <cfRule type="cellIs" dxfId="34" priority="3" stopIfTrue="1" operator="greaterThan">
      <formula>0</formula>
    </cfRule>
  </conditionalFormatting>
  <conditionalFormatting sqref="E33">
    <cfRule type="cellIs" dxfId="33" priority="4" stopIfTrue="1" operator="greaterThan">
      <formula>0</formula>
    </cfRule>
  </conditionalFormatting>
  <conditionalFormatting sqref="E34">
    <cfRule type="cellIs" dxfId="32" priority="5" stopIfTrue="1" operator="greaterThan">
      <formula>0</formula>
    </cfRule>
  </conditionalFormatting>
  <conditionalFormatting sqref="G32">
    <cfRule type="cellIs" dxfId="31" priority="6" stopIfTrue="1" operator="greaterThan">
      <formula>0</formula>
    </cfRule>
  </conditionalFormatting>
  <conditionalFormatting sqref="G33">
    <cfRule type="cellIs" dxfId="30" priority="7" stopIfTrue="1" operator="greaterThan">
      <formula>0</formula>
    </cfRule>
  </conditionalFormatting>
  <conditionalFormatting sqref="G34">
    <cfRule type="cellIs" dxfId="29" priority="8" stopIfTrue="1" operator="greaterThan">
      <formula>0</formula>
    </cfRule>
  </conditionalFormatting>
  <conditionalFormatting sqref="E35">
    <cfRule type="cellIs" dxfId="28" priority="9" stopIfTrue="1" operator="lessThanOrEqual">
      <formula>0</formula>
    </cfRule>
  </conditionalFormatting>
  <conditionalFormatting sqref="H33">
    <cfRule type="cellIs" dxfId="27" priority="11" stopIfTrue="1" operator="equal">
      <formula>"Zuviel Wirtschaftsdünger!"</formula>
    </cfRule>
  </conditionalFormatting>
  <conditionalFormatting sqref="V32">
    <cfRule type="cellIs" dxfId="26" priority="12" stopIfTrue="1" operator="equal">
      <formula>"Bestimmungen eingehalten"</formula>
    </cfRule>
    <cfRule type="cellIs" dxfId="25" priority="13" stopIfTrue="1" operator="equal">
      <formula>"Achtung, für Gülle und Jauche zu gering!"</formula>
    </cfRule>
  </conditionalFormatting>
  <conditionalFormatting sqref="V34">
    <cfRule type="cellIs" dxfId="24" priority="14" stopIfTrue="1" operator="equal">
      <formula>"Bestimmungen eingehalten"</formula>
    </cfRule>
    <cfRule type="cellIs" dxfId="23" priority="15" stopIfTrue="1" operator="equal">
      <formula>"Achtung, Lagerraum für Mist zu gering!"</formula>
    </cfRule>
  </conditionalFormatting>
  <conditionalFormatting sqref="H34">
    <cfRule type="cellIs" dxfId="22" priority="2" stopIfTrue="1" operator="equal">
      <formula>"Wasserrechtsgesetz nicht eingehalten!"</formula>
    </cfRule>
  </conditionalFormatting>
  <conditionalFormatting sqref="G35:K35">
    <cfRule type="cellIs" dxfId="21" priority="1" stopIfTrue="1" operator="equal">
      <formula>"Der N-Saldo ist nicht ok!"</formula>
    </cfRule>
  </conditionalFormatting>
  <dataValidations count="2">
    <dataValidation type="list" operator="equal" allowBlank="1" showErrorMessage="1" sqref="H4">
      <formula1>Liste_ja</formula1>
      <formula2>0</formula2>
    </dataValidation>
    <dataValidation type="list" operator="equal" allowBlank="1" showErrorMessage="1" sqref="B5:H13 B14:B19 C15:H19">
      <formula1>Tierliste_neu</formula1>
      <formula2>0</formula2>
    </dataValidation>
  </dataValidations>
  <hyperlinks>
    <hyperlink ref="N1" location="Betrieb!E10" display="◄"/>
    <hyperlink ref="Q1" location="Organ__Dü!B4" display="  ►"/>
    <hyperlink ref="N1:P1" location="N_Bedarf!E10" display="◄"/>
    <hyperlink ref="Q1:S1" location="Hofdung!B4" display="  ►"/>
    <hyperlink ref="AA32" r:id="rId1"/>
  </hyperlinks>
  <pageMargins left="0.51181102362204722" right="0.31496062992125984" top="0.74803149606299213" bottom="0.45" header="0.31496062992125984" footer="0.26"/>
  <pageSetup paperSize="9" scale="70" firstPageNumber="0" orientation="landscape" blackAndWhite="1" horizontalDpi="300" verticalDpi="300"/>
  <headerFooter alignWithMargins="0">
    <oddHeader>&amp;R&amp;G</oddHeader>
    <oddFooter>&amp;L&amp;F&amp;C&amp;A&amp;R&amp;P von &amp;N</oddFoot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AZ99"/>
  <sheetViews>
    <sheetView showZeros="0" zoomScale="80" zoomScaleNormal="80" zoomScalePageLayoutView="80" workbookViewId="0">
      <selection activeCell="M1" sqref="M1:N1"/>
    </sheetView>
  </sheetViews>
  <sheetFormatPr baseColWidth="10" defaultColWidth="7.28515625" defaultRowHeight="12.75"/>
  <cols>
    <col min="1" max="1" width="17" customWidth="1"/>
    <col min="2" max="2" width="19" customWidth="1"/>
    <col min="3" max="5" width="10.42578125" customWidth="1"/>
    <col min="6" max="6" width="9.140625" customWidth="1"/>
    <col min="7" max="7" width="9.28515625" customWidth="1"/>
    <col min="8" max="8" width="9.42578125" customWidth="1"/>
    <col min="9" max="9" width="8.85546875" customWidth="1"/>
    <col min="10" max="10" width="9.28515625" customWidth="1"/>
    <col min="11" max="11" width="6.7109375" customWidth="1"/>
    <col min="12" max="13" width="8" customWidth="1"/>
    <col min="16" max="16" width="7.7109375" customWidth="1"/>
    <col min="17" max="17" width="8.85546875" customWidth="1"/>
    <col min="18" max="18" width="9.28515625" customWidth="1"/>
    <col min="19" max="19" width="9.42578125" customWidth="1"/>
    <col min="20" max="20" width="8" customWidth="1"/>
    <col min="21" max="21" width="6.7109375" customWidth="1"/>
    <col min="22" max="22" width="7.7109375" customWidth="1"/>
    <col min="23" max="25" width="8" customWidth="1"/>
    <col min="26" max="52" width="0" hidden="1" customWidth="1"/>
    <col min="53" max="242" width="12.7109375" customWidth="1"/>
    <col min="243" max="243" width="15.85546875" customWidth="1"/>
    <col min="244" max="244" width="19" customWidth="1"/>
    <col min="245" max="247" width="10.42578125" customWidth="1"/>
    <col min="248" max="248" width="9.140625" customWidth="1"/>
    <col min="249" max="249" width="9.28515625" customWidth="1"/>
    <col min="250" max="250" width="9.42578125" customWidth="1"/>
    <col min="251" max="251" width="8.85546875" customWidth="1"/>
    <col min="252" max="253" width="6.7109375" customWidth="1"/>
    <col min="254" max="254" width="8" customWidth="1"/>
    <col min="255" max="255" width="7.42578125" customWidth="1"/>
  </cols>
  <sheetData>
    <row r="1" spans="1:52" ht="27" customHeight="1">
      <c r="A1" s="701" t="s">
        <v>660</v>
      </c>
      <c r="B1" s="702"/>
      <c r="C1" s="702"/>
      <c r="D1" s="702"/>
      <c r="E1" s="702"/>
      <c r="F1" s="702"/>
      <c r="G1" s="702"/>
      <c r="H1" s="702"/>
      <c r="I1" s="702"/>
      <c r="J1" s="702"/>
      <c r="K1" s="702"/>
      <c r="L1" s="702"/>
      <c r="M1" s="3102" t="s">
        <v>413</v>
      </c>
      <c r="N1" s="3102"/>
      <c r="O1" s="3102" t="s">
        <v>381</v>
      </c>
      <c r="P1" s="3102"/>
      <c r="Q1" s="703"/>
      <c r="R1" s="703"/>
      <c r="S1" s="703"/>
      <c r="T1" s="703"/>
      <c r="U1" s="703"/>
      <c r="V1" s="703"/>
      <c r="W1" s="703"/>
      <c r="X1" s="703"/>
      <c r="Y1" s="703"/>
      <c r="Z1" s="703"/>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row>
    <row r="2" spans="1:52" ht="20.25" customHeight="1">
      <c r="A2" s="705" t="s">
        <v>661</v>
      </c>
      <c r="B2" s="705"/>
      <c r="C2" s="706"/>
      <c r="D2" s="706"/>
      <c r="E2" s="706"/>
      <c r="F2" s="706"/>
      <c r="G2" s="706"/>
      <c r="H2" s="706"/>
      <c r="I2" s="706"/>
      <c r="J2" s="707"/>
      <c r="K2" s="708"/>
      <c r="L2" s="708"/>
      <c r="M2" s="615"/>
      <c r="N2" s="615"/>
      <c r="O2" s="615"/>
      <c r="P2" s="615"/>
      <c r="Q2" s="615"/>
      <c r="R2" s="615"/>
      <c r="S2" s="615"/>
      <c r="T2" s="709"/>
      <c r="U2" s="710"/>
      <c r="V2" s="710"/>
      <c r="W2" s="615"/>
      <c r="X2" s="615"/>
      <c r="Y2" s="615"/>
      <c r="Z2" s="615"/>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row>
    <row r="3" spans="1:52" ht="31.5" customHeight="1">
      <c r="A3" s="711" t="s">
        <v>662</v>
      </c>
      <c r="B3" s="712"/>
      <c r="C3" s="713" t="s">
        <v>663</v>
      </c>
      <c r="D3" s="713" t="s">
        <v>664</v>
      </c>
      <c r="E3" s="713" t="s">
        <v>665</v>
      </c>
      <c r="F3" s="714" t="s">
        <v>666</v>
      </c>
      <c r="G3" s="715" t="s">
        <v>186</v>
      </c>
      <c r="H3" s="715" t="s">
        <v>190</v>
      </c>
      <c r="I3" s="715" t="s">
        <v>192</v>
      </c>
      <c r="J3" s="716" t="s">
        <v>196</v>
      </c>
      <c r="K3" s="717" t="s">
        <v>667</v>
      </c>
      <c r="L3" s="718"/>
      <c r="M3" s="719"/>
      <c r="N3" s="615"/>
      <c r="O3" s="3103" t="s">
        <v>668</v>
      </c>
      <c r="P3" s="3103"/>
      <c r="Q3" s="615"/>
      <c r="R3" s="3098" t="s">
        <v>669</v>
      </c>
      <c r="S3" s="3098"/>
      <c r="T3" s="628" t="s">
        <v>670</v>
      </c>
      <c r="U3" s="720" t="s">
        <v>671</v>
      </c>
      <c r="V3" s="550" t="s">
        <v>672</v>
      </c>
      <c r="W3" s="721" t="s">
        <v>673</v>
      </c>
      <c r="X3" s="615"/>
      <c r="Y3" s="615"/>
      <c r="Z3" s="615"/>
      <c r="AA3" s="722" t="s">
        <v>674</v>
      </c>
      <c r="AB3" s="704"/>
      <c r="AI3" s="704"/>
      <c r="AJ3" s="704"/>
      <c r="AK3" s="704"/>
      <c r="AL3" s="704"/>
      <c r="AM3" s="704"/>
      <c r="AN3" s="704"/>
      <c r="AO3" s="704"/>
      <c r="AP3" s="704"/>
      <c r="AQ3" s="704"/>
      <c r="AR3" s="704"/>
      <c r="AS3" s="704"/>
      <c r="AT3" s="704"/>
      <c r="AU3" s="704"/>
      <c r="AV3" s="704"/>
      <c r="AW3" s="704"/>
      <c r="AX3" s="704"/>
      <c r="AY3" s="704"/>
      <c r="AZ3" s="704"/>
    </row>
    <row r="4" spans="1:52" ht="15.75">
      <c r="A4" s="723" t="s">
        <v>584</v>
      </c>
      <c r="B4" s="724"/>
      <c r="C4" s="725">
        <f>Tabelle1!AS36</f>
        <v>0</v>
      </c>
      <c r="D4" s="725">
        <f>Tabelle1!BD30</f>
        <v>0</v>
      </c>
      <c r="E4" s="726">
        <f>Tabelle1!BJ30</f>
        <v>0</v>
      </c>
      <c r="F4" s="402" t="s">
        <v>226</v>
      </c>
      <c r="G4" s="727">
        <f>1-$N4</f>
        <v>1</v>
      </c>
      <c r="H4" s="728"/>
      <c r="I4" s="728"/>
      <c r="J4" s="728"/>
      <c r="K4" s="729" t="str">
        <f>IF(G4=1,"  in Grube 1",IF(AA4&gt;1,"Zuviel verteilt!","  Ok!"))</f>
        <v xml:space="preserve">  in Grube 1</v>
      </c>
      <c r="L4" s="730"/>
      <c r="M4" s="730"/>
      <c r="N4" s="731">
        <f>H4+I4+J4</f>
        <v>0</v>
      </c>
      <c r="O4" s="3099">
        <f>Tiere!E33</f>
        <v>0</v>
      </c>
      <c r="P4" s="3099"/>
      <c r="Q4" s="615"/>
      <c r="R4" s="732" t="s">
        <v>632</v>
      </c>
      <c r="S4" s="733"/>
      <c r="T4" s="734">
        <v>0.87</v>
      </c>
      <c r="U4" s="735">
        <v>0.7</v>
      </c>
      <c r="V4" s="736">
        <v>0.5</v>
      </c>
      <c r="W4" s="334" t="s">
        <v>367</v>
      </c>
      <c r="X4" s="615"/>
      <c r="Y4" s="615"/>
      <c r="Z4" s="615"/>
      <c r="AA4" s="645">
        <f t="shared" ref="AA4:AA9" si="0">N4</f>
        <v>0</v>
      </c>
      <c r="AB4" s="704"/>
      <c r="AI4" s="704"/>
      <c r="AJ4" s="704"/>
      <c r="AK4" s="704"/>
      <c r="AL4" s="704"/>
      <c r="AM4" s="704"/>
      <c r="AN4" s="704"/>
      <c r="AO4" s="704"/>
      <c r="AP4" s="704"/>
      <c r="AQ4" s="704"/>
      <c r="AR4" s="704"/>
      <c r="AS4" s="704"/>
      <c r="AT4" s="704"/>
      <c r="AU4" s="704"/>
      <c r="AV4" s="704"/>
      <c r="AW4" s="704"/>
      <c r="AX4" s="704"/>
      <c r="AY4" s="704"/>
      <c r="AZ4" s="704"/>
    </row>
    <row r="5" spans="1:52" ht="15.75">
      <c r="A5" s="723" t="s">
        <v>588</v>
      </c>
      <c r="B5" s="724"/>
      <c r="C5" s="725">
        <f>Tabelle1!AT36</f>
        <v>0</v>
      </c>
      <c r="D5" s="725">
        <f>Tabelle1!BE30</f>
        <v>0</v>
      </c>
      <c r="E5" s="726">
        <f>Tabelle1!BK30</f>
        <v>0</v>
      </c>
      <c r="F5" s="402" t="s">
        <v>226</v>
      </c>
      <c r="G5" s="737"/>
      <c r="H5" s="727">
        <f>1-$N5</f>
        <v>1</v>
      </c>
      <c r="I5" s="728"/>
      <c r="J5" s="728"/>
      <c r="K5" s="738" t="str">
        <f>IF(H5=1,"  in Grube 2",IF(AA5&gt;1,"Zuviel verteilt!","  Ok!"))</f>
        <v xml:space="preserve">  in Grube 2</v>
      </c>
      <c r="L5" s="739"/>
      <c r="M5" s="739"/>
      <c r="N5" s="740">
        <f>G5+I5+J5</f>
        <v>0</v>
      </c>
      <c r="O5" s="3101" t="s">
        <v>675</v>
      </c>
      <c r="P5" s="3101"/>
      <c r="Q5" s="615"/>
      <c r="R5" s="741" t="s">
        <v>676</v>
      </c>
      <c r="S5" s="733"/>
      <c r="T5" s="734">
        <v>0.87</v>
      </c>
      <c r="U5" s="735">
        <v>0.8</v>
      </c>
      <c r="V5" s="736">
        <v>0.65</v>
      </c>
      <c r="W5" s="334" t="s">
        <v>367</v>
      </c>
      <c r="X5" s="615"/>
      <c r="Y5" s="615"/>
      <c r="Z5" s="742"/>
      <c r="AA5" s="645">
        <f t="shared" si="0"/>
        <v>0</v>
      </c>
      <c r="AB5" s="704"/>
      <c r="AI5" s="704"/>
      <c r="AJ5" s="704"/>
      <c r="AK5" s="704"/>
      <c r="AL5" s="704"/>
      <c r="AM5" s="704"/>
      <c r="AN5" s="704"/>
      <c r="AO5" s="704"/>
      <c r="AP5" s="704"/>
      <c r="AQ5" s="704"/>
      <c r="AR5" s="704"/>
      <c r="AS5" s="704"/>
      <c r="AT5" s="704"/>
      <c r="AU5" s="704"/>
      <c r="AV5" s="704"/>
      <c r="AW5" s="704"/>
      <c r="AX5" s="704"/>
      <c r="AY5" s="704"/>
      <c r="AZ5" s="704"/>
    </row>
    <row r="6" spans="1:52" ht="15.75">
      <c r="A6" s="723" t="s">
        <v>677</v>
      </c>
      <c r="B6" s="724"/>
      <c r="C6" s="725">
        <f>Tabelle1!AU36</f>
        <v>0</v>
      </c>
      <c r="D6" s="725">
        <f>Tabelle1!BF30</f>
        <v>0</v>
      </c>
      <c r="E6" s="726">
        <f>Tabelle1!BL30</f>
        <v>0</v>
      </c>
      <c r="F6" s="402" t="s">
        <v>226</v>
      </c>
      <c r="G6" s="737"/>
      <c r="H6" s="728"/>
      <c r="I6" s="727">
        <f>1-$N6</f>
        <v>1</v>
      </c>
      <c r="J6" s="728"/>
      <c r="K6" s="738" t="str">
        <f>IF(I6=1,"  in Grube 3",IF(AA6&gt;1,"Zuviel verteilt!","  Ok!"))</f>
        <v xml:space="preserve">  in Grube 3</v>
      </c>
      <c r="L6" s="739"/>
      <c r="M6" s="739"/>
      <c r="N6" s="731">
        <f>G6+H6+J6</f>
        <v>0</v>
      </c>
      <c r="O6" s="3106">
        <f>Tiere!G33</f>
        <v>0</v>
      </c>
      <c r="P6" s="3106"/>
      <c r="Q6" s="615"/>
      <c r="R6" s="732" t="s">
        <v>634</v>
      </c>
      <c r="S6" s="733"/>
      <c r="T6" s="734">
        <v>0.87</v>
      </c>
      <c r="U6" s="735">
        <v>0.85</v>
      </c>
      <c r="V6" s="736">
        <v>0.60000000000000009</v>
      </c>
      <c r="W6" s="334" t="s">
        <v>367</v>
      </c>
      <c r="X6" s="615"/>
      <c r="Y6" s="615"/>
      <c r="Z6" s="615"/>
      <c r="AA6" s="645">
        <f t="shared" si="0"/>
        <v>0</v>
      </c>
      <c r="AB6" s="704"/>
      <c r="AI6" s="704"/>
      <c r="AJ6" s="704"/>
      <c r="AK6" s="704"/>
      <c r="AL6" s="704"/>
      <c r="AM6" s="704"/>
      <c r="AN6" s="704"/>
      <c r="AO6" s="704"/>
      <c r="AP6" s="704"/>
      <c r="AQ6" s="704"/>
      <c r="AR6" s="704"/>
      <c r="AS6" s="704"/>
      <c r="AT6" s="704"/>
      <c r="AU6" s="704"/>
      <c r="AV6" s="704"/>
      <c r="AW6" s="704"/>
      <c r="AX6" s="704"/>
      <c r="AY6" s="704"/>
      <c r="AZ6" s="704"/>
    </row>
    <row r="7" spans="1:52" ht="15.75">
      <c r="A7" s="723" t="s">
        <v>22</v>
      </c>
      <c r="B7" s="724"/>
      <c r="C7" s="725">
        <f>Tabelle1!AV36</f>
        <v>0</v>
      </c>
      <c r="D7" s="725">
        <f>Tabelle1!BG30</f>
        <v>0</v>
      </c>
      <c r="E7" s="726">
        <f>Tabelle1!BM30</f>
        <v>0</v>
      </c>
      <c r="F7" s="743" t="s">
        <v>226</v>
      </c>
      <c r="G7" s="737"/>
      <c r="H7" s="728"/>
      <c r="I7" s="728"/>
      <c r="J7" s="727">
        <f>1-$N7</f>
        <v>1</v>
      </c>
      <c r="K7" s="738" t="str">
        <f>IF(J7=1,"  in Grube 4",IF(AA7&gt;1,"Zuviel verteilt!","  Ok!"))</f>
        <v xml:space="preserve">  in Grube 4</v>
      </c>
      <c r="L7" s="739"/>
      <c r="M7" s="739"/>
      <c r="N7" s="744">
        <f>G7+H7+I7</f>
        <v>0</v>
      </c>
      <c r="O7" s="615"/>
      <c r="P7" s="615"/>
      <c r="Q7" s="615"/>
      <c r="R7" s="732" t="s">
        <v>638</v>
      </c>
      <c r="S7" s="733"/>
      <c r="T7" s="734">
        <v>0.87</v>
      </c>
      <c r="U7" s="735">
        <v>1</v>
      </c>
      <c r="V7" s="736">
        <v>0.9</v>
      </c>
      <c r="W7" s="334" t="s">
        <v>367</v>
      </c>
      <c r="X7" s="615"/>
      <c r="Y7" s="615"/>
      <c r="Z7" s="615"/>
      <c r="AA7" s="645">
        <f t="shared" si="0"/>
        <v>0</v>
      </c>
      <c r="AB7" s="704"/>
      <c r="AI7" s="704"/>
      <c r="AJ7" s="704"/>
      <c r="AK7" s="704"/>
      <c r="AL7" s="704"/>
      <c r="AM7" s="704"/>
      <c r="AN7" s="704"/>
      <c r="AO7" s="704"/>
      <c r="AP7" s="704"/>
      <c r="AQ7" s="704"/>
      <c r="AR7" s="704"/>
      <c r="AS7" s="704"/>
      <c r="AT7" s="704"/>
      <c r="AU7" s="704"/>
      <c r="AV7" s="704"/>
      <c r="AW7" s="704"/>
      <c r="AX7" s="704"/>
      <c r="AY7" s="704"/>
      <c r="AZ7" s="704"/>
    </row>
    <row r="8" spans="1:52" ht="15.75">
      <c r="A8" s="723" t="s">
        <v>678</v>
      </c>
      <c r="B8" s="724"/>
      <c r="C8" s="725">
        <f>Tabelle1!AW36-C9</f>
        <v>0</v>
      </c>
      <c r="D8" s="725">
        <f>Tabelle1!BH30-D9</f>
        <v>0</v>
      </c>
      <c r="E8" s="726">
        <f>Tabelle1!BN30-E9</f>
        <v>0</v>
      </c>
      <c r="F8" s="745">
        <f>1-N8</f>
        <v>1</v>
      </c>
      <c r="G8" s="737"/>
      <c r="H8" s="728"/>
      <c r="I8" s="728"/>
      <c r="J8" s="728"/>
      <c r="K8" s="738" t="str">
        <f>IF(F8=1,"  auf Mistlager",IF(AA8&gt;1,"Zuviel verteilt!","  Ok!"))</f>
        <v xml:space="preserve">  auf Mistlager</v>
      </c>
      <c r="L8" s="746"/>
      <c r="M8" s="746"/>
      <c r="N8" s="744">
        <f>G8+H8+I8+J8</f>
        <v>0</v>
      </c>
      <c r="O8" s="615"/>
      <c r="P8" s="615"/>
      <c r="Q8" s="615"/>
      <c r="R8" s="732" t="s">
        <v>640</v>
      </c>
      <c r="S8" s="733"/>
      <c r="T8" s="734">
        <v>0.91</v>
      </c>
      <c r="U8" s="735">
        <v>0.5</v>
      </c>
      <c r="V8" s="736">
        <v>0.15</v>
      </c>
      <c r="W8" s="334" t="s">
        <v>367</v>
      </c>
      <c r="X8" s="615"/>
      <c r="Y8" s="615"/>
      <c r="Z8" s="615"/>
      <c r="AA8" s="645">
        <f t="shared" si="0"/>
        <v>0</v>
      </c>
      <c r="AB8" s="704"/>
      <c r="AI8" s="704"/>
      <c r="AJ8" s="704"/>
      <c r="AK8" s="704"/>
      <c r="AL8" s="704"/>
      <c r="AM8" s="704"/>
      <c r="AN8" s="704"/>
      <c r="AO8" s="704"/>
      <c r="AP8" s="704"/>
      <c r="AQ8" s="704"/>
      <c r="AR8" s="704"/>
      <c r="AS8" s="704"/>
      <c r="AT8" s="704"/>
      <c r="AU8" s="704"/>
      <c r="AV8" s="704"/>
      <c r="AW8" s="704"/>
      <c r="AX8" s="704"/>
      <c r="AY8" s="704"/>
      <c r="AZ8" s="704"/>
    </row>
    <row r="9" spans="1:52" ht="15.75">
      <c r="A9" s="747" t="s">
        <v>679</v>
      </c>
      <c r="B9" s="724"/>
      <c r="C9" s="748"/>
      <c r="D9" s="749"/>
      <c r="E9" s="749"/>
      <c r="F9" s="745">
        <f>1-N9</f>
        <v>1</v>
      </c>
      <c r="G9" s="728"/>
      <c r="H9" s="728"/>
      <c r="I9" s="728"/>
      <c r="J9" s="728"/>
      <c r="K9" s="738" t="str">
        <f>IF(F9=1,"  auf Extralager",IF(AA9&gt;1,"Zuviel verteilt!","  Ok!"))</f>
        <v xml:space="preserve">  auf Extralager</v>
      </c>
      <c r="L9" s="746"/>
      <c r="M9" s="746"/>
      <c r="N9" s="744">
        <f>G9+H9+I9+J9</f>
        <v>0</v>
      </c>
      <c r="O9" s="615"/>
      <c r="P9" s="615"/>
      <c r="Q9" s="615"/>
      <c r="R9" s="732" t="s">
        <v>642</v>
      </c>
      <c r="S9" s="733"/>
      <c r="T9" s="734">
        <v>0.91</v>
      </c>
      <c r="U9" s="735">
        <v>0.30000000000000004</v>
      </c>
      <c r="V9" s="736">
        <v>0.05</v>
      </c>
      <c r="W9" s="334" t="s">
        <v>367</v>
      </c>
      <c r="X9" s="615"/>
      <c r="Y9" s="615"/>
      <c r="Z9" s="615"/>
      <c r="AA9" s="645">
        <f t="shared" si="0"/>
        <v>0</v>
      </c>
      <c r="AB9" s="704"/>
      <c r="AI9" s="704"/>
      <c r="AJ9" s="704"/>
      <c r="AK9" s="704"/>
      <c r="AL9" s="704"/>
      <c r="AM9" s="704"/>
      <c r="AN9" s="704"/>
      <c r="AO9" s="704"/>
      <c r="AP9" s="704"/>
      <c r="AQ9" s="704"/>
      <c r="AR9" s="704"/>
      <c r="AS9" s="704"/>
      <c r="AT9" s="704"/>
      <c r="AU9" s="704"/>
      <c r="AV9" s="704"/>
      <c r="AW9" s="704"/>
      <c r="AX9" s="704"/>
      <c r="AY9" s="704"/>
      <c r="AZ9" s="704"/>
    </row>
    <row r="10" spans="1:52" ht="14.25">
      <c r="A10" s="750"/>
      <c r="B10" s="750"/>
      <c r="C10" s="751" t="s">
        <v>680</v>
      </c>
      <c r="D10" s="750"/>
      <c r="E10" s="750"/>
      <c r="F10" s="750"/>
      <c r="G10" s="750"/>
      <c r="H10" s="750"/>
      <c r="I10" s="752"/>
      <c r="J10" s="615"/>
      <c r="K10" s="615"/>
      <c r="L10" s="615"/>
      <c r="M10" s="615"/>
      <c r="N10" s="615"/>
      <c r="O10" s="615"/>
      <c r="P10" s="615"/>
      <c r="Q10" s="615"/>
      <c r="R10" s="753" t="s">
        <v>565</v>
      </c>
      <c r="S10" s="754"/>
      <c r="T10" s="755">
        <v>0.91</v>
      </c>
      <c r="U10" s="756">
        <v>0.1</v>
      </c>
      <c r="V10" s="757">
        <v>0.01</v>
      </c>
      <c r="W10" s="758" t="s">
        <v>367</v>
      </c>
      <c r="X10" s="615"/>
      <c r="Y10" s="615"/>
      <c r="Z10" s="704"/>
      <c r="AA10" s="704"/>
      <c r="AB10" s="704"/>
      <c r="AI10" s="704"/>
      <c r="AJ10" s="704"/>
      <c r="AK10" s="704"/>
      <c r="AL10" s="704"/>
      <c r="AM10" s="704"/>
      <c r="AN10" s="704"/>
      <c r="AO10" s="704"/>
      <c r="AP10" s="704"/>
      <c r="AQ10" s="704"/>
      <c r="AR10" s="704"/>
      <c r="AS10" s="704"/>
      <c r="AT10" s="704"/>
      <c r="AU10" s="704"/>
      <c r="AV10" s="704"/>
      <c r="AW10" s="704"/>
      <c r="AX10" s="704"/>
      <c r="AY10" s="704"/>
      <c r="AZ10" s="704"/>
    </row>
    <row r="11" spans="1:52" ht="24.75" customHeight="1">
      <c r="A11" s="759" t="s">
        <v>681</v>
      </c>
      <c r="B11" s="615"/>
      <c r="C11" s="615"/>
      <c r="D11" s="615"/>
      <c r="E11" s="615"/>
      <c r="F11" s="615"/>
      <c r="G11" s="615"/>
      <c r="H11" s="615"/>
      <c r="I11" s="615"/>
      <c r="J11" s="760"/>
      <c r="K11" s="615"/>
      <c r="L11" s="615"/>
      <c r="M11" s="615"/>
      <c r="N11" s="761"/>
      <c r="O11" s="615"/>
      <c r="P11" s="615"/>
      <c r="Q11" s="615"/>
      <c r="R11" s="615"/>
      <c r="S11" s="615"/>
      <c r="T11" s="615"/>
      <c r="U11" s="615"/>
      <c r="V11" s="615"/>
      <c r="W11" s="615"/>
      <c r="X11" s="615"/>
      <c r="Y11" s="615"/>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row>
    <row r="12" spans="1:52" ht="44.25" customHeight="1">
      <c r="A12" s="3107" t="s">
        <v>682</v>
      </c>
      <c r="B12" s="3107"/>
      <c r="C12" s="762" t="s">
        <v>663</v>
      </c>
      <c r="D12" s="762" t="s">
        <v>683</v>
      </c>
      <c r="E12" s="763" t="s">
        <v>684</v>
      </c>
      <c r="F12" s="764" t="s">
        <v>685</v>
      </c>
      <c r="G12" s="765" t="s">
        <v>686</v>
      </c>
      <c r="H12" s="766" t="s">
        <v>687</v>
      </c>
      <c r="I12" s="628" t="s">
        <v>688</v>
      </c>
      <c r="J12" s="627" t="s">
        <v>689</v>
      </c>
      <c r="K12" s="627" t="s">
        <v>690</v>
      </c>
      <c r="L12" s="627" t="s">
        <v>691</v>
      </c>
      <c r="M12" s="551" t="s">
        <v>672</v>
      </c>
      <c r="N12" s="767" t="s">
        <v>356</v>
      </c>
      <c r="O12" s="627" t="s">
        <v>692</v>
      </c>
      <c r="P12" s="551" t="s">
        <v>693</v>
      </c>
      <c r="Q12" s="615"/>
      <c r="R12" s="3114" t="s">
        <v>694</v>
      </c>
      <c r="S12" s="3114"/>
      <c r="T12" s="3114"/>
      <c r="U12" s="3114"/>
      <c r="V12" s="3114"/>
      <c r="W12" s="3114"/>
      <c r="X12" s="3114"/>
      <c r="Y12" s="615"/>
      <c r="Z12" s="704"/>
      <c r="AA12" s="704"/>
      <c r="AB12" s="704"/>
      <c r="AC12" s="704"/>
      <c r="AD12" s="704"/>
      <c r="AE12" s="704"/>
      <c r="AF12" s="704"/>
      <c r="AG12" s="704"/>
      <c r="AH12" s="704"/>
      <c r="AI12" s="704"/>
      <c r="AJ12" s="704"/>
      <c r="AK12" s="704"/>
      <c r="AL12" s="704"/>
      <c r="AM12" s="704"/>
      <c r="AN12" s="704"/>
      <c r="AO12" s="704"/>
      <c r="AP12" s="704"/>
      <c r="AQ12" s="704"/>
      <c r="AR12" s="704"/>
      <c r="AS12" s="704"/>
      <c r="AT12" s="704"/>
      <c r="AU12" s="704"/>
      <c r="AV12" s="704"/>
      <c r="AW12" s="704"/>
      <c r="AX12" s="704"/>
      <c r="AY12" s="704"/>
      <c r="AZ12" s="704"/>
    </row>
    <row r="13" spans="1:52" ht="18" customHeight="1">
      <c r="A13" s="768" t="s">
        <v>186</v>
      </c>
      <c r="B13" s="769" t="s">
        <v>584</v>
      </c>
      <c r="C13" s="770">
        <f>AB22</f>
        <v>0</v>
      </c>
      <c r="D13" s="770">
        <f>AE22</f>
        <v>0</v>
      </c>
      <c r="E13" s="771">
        <f>AF22</f>
        <v>0</v>
      </c>
      <c r="F13" s="772"/>
      <c r="G13" s="773"/>
      <c r="H13" s="774">
        <f t="shared" ref="H13:H18" si="1">IF(F13&gt;0,C13/F13,0)</f>
        <v>0</v>
      </c>
      <c r="I13" s="775">
        <f>IF(ISBLANK(F13),0,IF(ISBLANK(AC22),0,AC22/F13))</f>
        <v>0</v>
      </c>
      <c r="J13" s="775">
        <f>IF(ISBLANK(F13),0,IF(ISBLANK(AD22),0,AD22/F13))</f>
        <v>0</v>
      </c>
      <c r="K13" s="776">
        <f t="shared" ref="K13:K18" si="2">IF($F13=0,0,D13/$F13)</f>
        <v>0</v>
      </c>
      <c r="L13" s="776">
        <f t="shared" ref="L13:L18" si="3">IF($F13=0,0,E13/$F13)</f>
        <v>0</v>
      </c>
      <c r="M13" s="777">
        <f>IF(ISERROR(AG29),0,AG29)</f>
        <v>0</v>
      </c>
      <c r="N13" s="777">
        <v>1</v>
      </c>
      <c r="O13" s="778" t="s">
        <v>367</v>
      </c>
      <c r="P13" s="779">
        <f>IF(ISERROR(AE29),0,AE29/100)</f>
        <v>0</v>
      </c>
      <c r="Q13" s="615"/>
      <c r="R13" s="3114"/>
      <c r="S13" s="3114"/>
      <c r="T13" s="3114"/>
      <c r="U13" s="3114"/>
      <c r="V13" s="3114"/>
      <c r="W13" s="3114"/>
      <c r="X13" s="3114"/>
      <c r="Y13" s="615"/>
      <c r="Z13" s="615"/>
      <c r="AA13" s="780"/>
      <c r="AB13" s="781" t="s">
        <v>695</v>
      </c>
      <c r="AC13" s="782">
        <v>0</v>
      </c>
      <c r="AD13" s="783"/>
      <c r="AE13" s="783"/>
      <c r="AF13" s="783"/>
      <c r="AG13" s="783"/>
      <c r="AH13" s="783"/>
      <c r="AI13" s="783"/>
      <c r="AJ13" s="783"/>
      <c r="AK13" s="784"/>
      <c r="AL13" s="784"/>
      <c r="AM13" s="784"/>
      <c r="AN13" s="784"/>
      <c r="AO13" s="784"/>
      <c r="AP13" s="784"/>
      <c r="AQ13" s="784"/>
      <c r="AR13" s="784"/>
      <c r="AS13" s="784"/>
      <c r="AT13" s="784"/>
      <c r="AU13" s="784"/>
      <c r="AV13" s="784"/>
      <c r="AW13" s="784"/>
      <c r="AX13" s="784"/>
      <c r="AY13" s="784"/>
      <c r="AZ13" s="704"/>
    </row>
    <row r="14" spans="1:52" ht="18" customHeight="1">
      <c r="A14" s="768" t="s">
        <v>190</v>
      </c>
      <c r="B14" s="769" t="s">
        <v>588</v>
      </c>
      <c r="C14" s="785">
        <f>AH22</f>
        <v>0</v>
      </c>
      <c r="D14" s="785">
        <f>AK22</f>
        <v>0</v>
      </c>
      <c r="E14" s="786">
        <f>AL22</f>
        <v>0</v>
      </c>
      <c r="F14" s="772"/>
      <c r="G14" s="773"/>
      <c r="H14" s="774">
        <f t="shared" si="1"/>
        <v>0</v>
      </c>
      <c r="I14" s="775">
        <f>IF(ISBLANK(F14),0,IF(ISBLANK(AI22),0,AI22/F14))</f>
        <v>0</v>
      </c>
      <c r="J14" s="775">
        <f>IF(ISBLANK(F14),0,IF(ISBLANK(AJ22),0,AJ22/F14))</f>
        <v>0</v>
      </c>
      <c r="K14" s="776">
        <f t="shared" si="2"/>
        <v>0</v>
      </c>
      <c r="L14" s="776">
        <f t="shared" si="3"/>
        <v>0</v>
      </c>
      <c r="M14" s="777">
        <f>IF(ISERROR(AM29),0,AM29)</f>
        <v>0</v>
      </c>
      <c r="N14" s="777">
        <v>1</v>
      </c>
      <c r="O14" s="778" t="s">
        <v>367</v>
      </c>
      <c r="P14" s="779">
        <f>IF(ISERROR(AK29),0,AK29/100)</f>
        <v>0</v>
      </c>
      <c r="Q14" s="615"/>
      <c r="R14" s="3114"/>
      <c r="S14" s="3114"/>
      <c r="T14" s="3114"/>
      <c r="U14" s="3114"/>
      <c r="V14" s="3114"/>
      <c r="W14" s="3114"/>
      <c r="X14" s="3114"/>
      <c r="Y14" s="615"/>
      <c r="Z14" s="615"/>
      <c r="AA14" s="783"/>
      <c r="AB14" s="787" t="s">
        <v>186</v>
      </c>
      <c r="AC14" s="783"/>
      <c r="AD14" s="783"/>
      <c r="AH14" s="788" t="s">
        <v>190</v>
      </c>
      <c r="AI14" s="788"/>
      <c r="AJ14" s="788"/>
      <c r="AK14" s="788"/>
      <c r="AL14" s="788"/>
      <c r="AM14" s="788"/>
      <c r="AN14" s="788" t="s">
        <v>192</v>
      </c>
      <c r="AO14" s="788"/>
      <c r="AP14" s="788"/>
      <c r="AQ14" s="788"/>
      <c r="AR14" s="784"/>
      <c r="AS14" s="784"/>
      <c r="AT14" s="788" t="s">
        <v>196</v>
      </c>
      <c r="AU14" s="788"/>
      <c r="AV14" s="788"/>
      <c r="AW14" s="788"/>
      <c r="AX14" s="788"/>
      <c r="AY14" s="788"/>
      <c r="AZ14" s="704"/>
    </row>
    <row r="15" spans="1:52" ht="18" customHeight="1">
      <c r="A15" s="768" t="s">
        <v>192</v>
      </c>
      <c r="B15" s="769" t="s">
        <v>677</v>
      </c>
      <c r="C15" s="785">
        <f>AN22</f>
        <v>0</v>
      </c>
      <c r="D15" s="785">
        <f>AQ22</f>
        <v>0</v>
      </c>
      <c r="E15" s="786">
        <f>AR22</f>
        <v>0</v>
      </c>
      <c r="F15" s="772"/>
      <c r="G15" s="773"/>
      <c r="H15" s="774">
        <f t="shared" si="1"/>
        <v>0</v>
      </c>
      <c r="I15" s="775">
        <f>IF(ISBLANK(F15),0,IF(ISBLANK(AO22),0,AO22/F15))</f>
        <v>0</v>
      </c>
      <c r="J15" s="775">
        <f>IF(ISBLANK(F15),0,IF(ISBLANK(AP22),0,AP22/F15))</f>
        <v>0</v>
      </c>
      <c r="K15" s="776">
        <f t="shared" si="2"/>
        <v>0</v>
      </c>
      <c r="L15" s="776">
        <f t="shared" si="3"/>
        <v>0</v>
      </c>
      <c r="M15" s="777">
        <f>IF(ISERROR(AS29),0,AS29)</f>
        <v>0</v>
      </c>
      <c r="N15" s="777">
        <v>1</v>
      </c>
      <c r="O15" s="778" t="s">
        <v>367</v>
      </c>
      <c r="P15" s="779">
        <f>IF(ISERROR(AQ29),0,AQ29/100)</f>
        <v>0</v>
      </c>
      <c r="Q15" s="615"/>
      <c r="R15" s="3114"/>
      <c r="S15" s="3114"/>
      <c r="T15" s="3114"/>
      <c r="U15" s="3114"/>
      <c r="V15" s="3114"/>
      <c r="W15" s="3114"/>
      <c r="X15" s="3114"/>
      <c r="Y15" s="615"/>
      <c r="Z15" s="615"/>
      <c r="AA15" s="783"/>
      <c r="AB15" s="789" t="s">
        <v>696</v>
      </c>
      <c r="AC15" s="789" t="s">
        <v>697</v>
      </c>
      <c r="AD15" s="789" t="s">
        <v>377</v>
      </c>
      <c r="AE15" s="789" t="s">
        <v>124</v>
      </c>
      <c r="AF15" s="789" t="s">
        <v>125</v>
      </c>
      <c r="AG15" s="789" t="s">
        <v>698</v>
      </c>
      <c r="AH15" s="666" t="s">
        <v>696</v>
      </c>
      <c r="AI15" s="666" t="s">
        <v>697</v>
      </c>
      <c r="AJ15" s="666" t="s">
        <v>377</v>
      </c>
      <c r="AK15" s="666" t="s">
        <v>124</v>
      </c>
      <c r="AL15" s="666" t="s">
        <v>125</v>
      </c>
      <c r="AM15" s="666" t="s">
        <v>698</v>
      </c>
      <c r="AN15" s="666" t="s">
        <v>696</v>
      </c>
      <c r="AO15" s="666" t="s">
        <v>697</v>
      </c>
      <c r="AP15" s="666" t="s">
        <v>377</v>
      </c>
      <c r="AQ15" s="666" t="s">
        <v>124</v>
      </c>
      <c r="AR15" s="666" t="s">
        <v>125</v>
      </c>
      <c r="AS15" s="666" t="s">
        <v>698</v>
      </c>
      <c r="AT15" s="666" t="s">
        <v>696</v>
      </c>
      <c r="AU15" s="666" t="s">
        <v>697</v>
      </c>
      <c r="AV15" s="666" t="s">
        <v>377</v>
      </c>
      <c r="AW15" s="666" t="s">
        <v>124</v>
      </c>
      <c r="AX15" s="666" t="s">
        <v>125</v>
      </c>
      <c r="AY15" s="666" t="s">
        <v>698</v>
      </c>
      <c r="AZ15" s="704"/>
    </row>
    <row r="16" spans="1:52" ht="18" customHeight="1">
      <c r="A16" s="768" t="s">
        <v>196</v>
      </c>
      <c r="B16" s="769" t="s">
        <v>22</v>
      </c>
      <c r="C16" s="785">
        <f>AT22</f>
        <v>0</v>
      </c>
      <c r="D16" s="785">
        <f>AW22</f>
        <v>0</v>
      </c>
      <c r="E16" s="786">
        <f>AX22</f>
        <v>0</v>
      </c>
      <c r="F16" s="772"/>
      <c r="G16" s="773"/>
      <c r="H16" s="774">
        <f t="shared" si="1"/>
        <v>0</v>
      </c>
      <c r="I16" s="775">
        <f>IF(ISBLANK(F16),0,IF(ISBLANK(AU22),0,AU22/F16))</f>
        <v>0</v>
      </c>
      <c r="J16" s="775">
        <f>IF(ISBLANK(F16),0,IF(ISBLANK(AV22),0,AV22/F16))</f>
        <v>0</v>
      </c>
      <c r="K16" s="776">
        <f t="shared" si="2"/>
        <v>0</v>
      </c>
      <c r="L16" s="776">
        <f t="shared" si="3"/>
        <v>0</v>
      </c>
      <c r="M16" s="777">
        <f>IF(ISERROR(AY29),0,AY29)</f>
        <v>0</v>
      </c>
      <c r="N16" s="777">
        <v>1</v>
      </c>
      <c r="O16" s="778" t="s">
        <v>367</v>
      </c>
      <c r="P16" s="779">
        <f>IF(ISERROR(AW29),0,AW29/100)</f>
        <v>0</v>
      </c>
      <c r="Q16" s="615"/>
      <c r="R16" s="3114"/>
      <c r="S16" s="3114"/>
      <c r="T16" s="3114"/>
      <c r="U16" s="3114"/>
      <c r="V16" s="3114"/>
      <c r="W16" s="3114"/>
      <c r="X16" s="3114"/>
      <c r="Y16" s="615"/>
      <c r="Z16" s="615"/>
      <c r="AA16" s="790" t="s">
        <v>699</v>
      </c>
      <c r="AB16" s="791">
        <f t="shared" ref="AB16:AB21" si="4">C4*$G4</f>
        <v>0</v>
      </c>
      <c r="AC16" s="792">
        <f>AB16*0.87</f>
        <v>0</v>
      </c>
      <c r="AD16" s="792">
        <f>AC16*$U$4</f>
        <v>0</v>
      </c>
      <c r="AE16" s="792">
        <f t="shared" ref="AE16:AE21" si="5">D4*$G4</f>
        <v>0</v>
      </c>
      <c r="AF16" s="792">
        <f t="shared" ref="AF16:AF21" si="6">E4*$G4</f>
        <v>0</v>
      </c>
      <c r="AG16" s="793" t="e">
        <f t="shared" ref="AG16:AG21" si="7">AB16/AB$22</f>
        <v>#DIV/0!</v>
      </c>
      <c r="AH16" s="794">
        <f t="shared" ref="AH16:AH21" si="8">C4*$H4</f>
        <v>0</v>
      </c>
      <c r="AI16" s="795">
        <f>AH16*0.87</f>
        <v>0</v>
      </c>
      <c r="AJ16" s="795">
        <f>AI16*$U$4</f>
        <v>0</v>
      </c>
      <c r="AK16" s="796">
        <f t="shared" ref="AK16:AK21" si="9">D4*$H4</f>
        <v>0</v>
      </c>
      <c r="AL16" s="796">
        <f t="shared" ref="AL16:AL21" si="10">E4*$H4</f>
        <v>0</v>
      </c>
      <c r="AM16" s="745" t="e">
        <f t="shared" ref="AM16:AM21" si="11">AH16/AH$22</f>
        <v>#DIV/0!</v>
      </c>
      <c r="AN16" s="794">
        <f t="shared" ref="AN16:AN21" si="12">C4*$I4</f>
        <v>0</v>
      </c>
      <c r="AO16" s="795">
        <f>AN16*0.87</f>
        <v>0</v>
      </c>
      <c r="AP16" s="795">
        <f>AO16*$U$4</f>
        <v>0</v>
      </c>
      <c r="AQ16" s="796">
        <f t="shared" ref="AQ16:AQ21" si="13">D4*$I4</f>
        <v>0</v>
      </c>
      <c r="AR16" s="796">
        <f t="shared" ref="AR16:AR21" si="14">E4*$I4</f>
        <v>0</v>
      </c>
      <c r="AS16" s="745" t="e">
        <f t="shared" ref="AS16:AS21" si="15">AN16/AN$22</f>
        <v>#DIV/0!</v>
      </c>
      <c r="AT16" s="794">
        <f t="shared" ref="AT16:AT21" si="16">C4*$J4</f>
        <v>0</v>
      </c>
      <c r="AU16" s="795">
        <f>AT16*0.87</f>
        <v>0</v>
      </c>
      <c r="AV16" s="795">
        <f>AU16*$U$4</f>
        <v>0</v>
      </c>
      <c r="AW16" s="796">
        <f t="shared" ref="AW16:AW21" si="17">D4*$J4</f>
        <v>0</v>
      </c>
      <c r="AX16" s="796">
        <f t="shared" ref="AX16:AX21" si="18">E4*$J4</f>
        <v>0</v>
      </c>
      <c r="AY16" s="745" t="e">
        <f t="shared" ref="AY16:AY21" si="19">AT16/AT$22</f>
        <v>#DIV/0!</v>
      </c>
      <c r="AZ16" s="704"/>
    </row>
    <row r="17" spans="1:52" ht="18" customHeight="1">
      <c r="A17" s="768" t="s">
        <v>700</v>
      </c>
      <c r="B17" s="769" t="s">
        <v>1765</v>
      </c>
      <c r="C17" s="785">
        <f t="shared" ref="C17:E18" si="20">AB33</f>
        <v>0</v>
      </c>
      <c r="D17" s="785">
        <f t="shared" si="20"/>
        <v>0</v>
      </c>
      <c r="E17" s="786">
        <f t="shared" si="20"/>
        <v>0</v>
      </c>
      <c r="F17" s="772"/>
      <c r="G17" s="773"/>
      <c r="H17" s="774">
        <f t="shared" si="1"/>
        <v>0</v>
      </c>
      <c r="I17" s="775">
        <f>H17*0.91</f>
        <v>0</v>
      </c>
      <c r="J17" s="775">
        <f>I17*U8</f>
        <v>0</v>
      </c>
      <c r="K17" s="776">
        <f t="shared" si="2"/>
        <v>0</v>
      </c>
      <c r="L17" s="776">
        <f t="shared" si="3"/>
        <v>0</v>
      </c>
      <c r="M17" s="777">
        <v>0.15</v>
      </c>
      <c r="N17" s="777">
        <v>1</v>
      </c>
      <c r="O17" s="778" t="s">
        <v>367</v>
      </c>
      <c r="P17" s="779">
        <f>U8</f>
        <v>0.5</v>
      </c>
      <c r="Q17" s="615"/>
      <c r="R17" s="3114"/>
      <c r="S17" s="3114"/>
      <c r="T17" s="3114"/>
      <c r="U17" s="3114"/>
      <c r="V17" s="3114"/>
      <c r="W17" s="3114"/>
      <c r="X17" s="3114"/>
      <c r="Y17" s="615"/>
      <c r="Z17" s="615"/>
      <c r="AA17" s="790" t="s">
        <v>701</v>
      </c>
      <c r="AB17" s="791">
        <f t="shared" si="4"/>
        <v>0</v>
      </c>
      <c r="AC17" s="792">
        <f>AB17*0.87</f>
        <v>0</v>
      </c>
      <c r="AD17" s="792">
        <f>AC17*$U$5</f>
        <v>0</v>
      </c>
      <c r="AE17" s="792">
        <f t="shared" si="5"/>
        <v>0</v>
      </c>
      <c r="AF17" s="792">
        <f t="shared" si="6"/>
        <v>0</v>
      </c>
      <c r="AG17" s="793" t="e">
        <f t="shared" si="7"/>
        <v>#DIV/0!</v>
      </c>
      <c r="AH17" s="794">
        <f t="shared" si="8"/>
        <v>0</v>
      </c>
      <c r="AI17" s="795">
        <f>AH17*0.87</f>
        <v>0</v>
      </c>
      <c r="AJ17" s="795">
        <f>AI17*$U$5</f>
        <v>0</v>
      </c>
      <c r="AK17" s="794">
        <f t="shared" si="9"/>
        <v>0</v>
      </c>
      <c r="AL17" s="794">
        <f t="shared" si="10"/>
        <v>0</v>
      </c>
      <c r="AM17" s="745" t="e">
        <f t="shared" si="11"/>
        <v>#DIV/0!</v>
      </c>
      <c r="AN17" s="794">
        <f t="shared" si="12"/>
        <v>0</v>
      </c>
      <c r="AO17" s="795">
        <f>AN17*0.87</f>
        <v>0</v>
      </c>
      <c r="AP17" s="795">
        <f>AO17*$U$5</f>
        <v>0</v>
      </c>
      <c r="AQ17" s="794">
        <f t="shared" si="13"/>
        <v>0</v>
      </c>
      <c r="AR17" s="794">
        <f t="shared" si="14"/>
        <v>0</v>
      </c>
      <c r="AS17" s="745" t="e">
        <f t="shared" si="15"/>
        <v>#DIV/0!</v>
      </c>
      <c r="AT17" s="794">
        <f t="shared" si="16"/>
        <v>0</v>
      </c>
      <c r="AU17" s="795">
        <f>AT17*0.87</f>
        <v>0</v>
      </c>
      <c r="AV17" s="795">
        <f>AU17*$U$5</f>
        <v>0</v>
      </c>
      <c r="AW17" s="794">
        <f t="shared" si="17"/>
        <v>0</v>
      </c>
      <c r="AX17" s="794">
        <f t="shared" si="18"/>
        <v>0</v>
      </c>
      <c r="AY17" s="745" t="e">
        <f t="shared" si="19"/>
        <v>#DIV/0!</v>
      </c>
      <c r="AZ17" s="704"/>
    </row>
    <row r="18" spans="1:52" ht="18" customHeight="1">
      <c r="A18" s="797" t="s">
        <v>702</v>
      </c>
      <c r="B18" s="769" t="s">
        <v>206</v>
      </c>
      <c r="C18" s="785">
        <f t="shared" si="20"/>
        <v>0</v>
      </c>
      <c r="D18" s="785">
        <f t="shared" si="20"/>
        <v>0</v>
      </c>
      <c r="E18" s="786">
        <f t="shared" si="20"/>
        <v>0</v>
      </c>
      <c r="F18" s="772"/>
      <c r="G18" s="773"/>
      <c r="H18" s="774">
        <f t="shared" si="1"/>
        <v>0</v>
      </c>
      <c r="I18" s="776">
        <f>H18*0.91</f>
        <v>0</v>
      </c>
      <c r="J18" s="775">
        <f>I18*U8</f>
        <v>0</v>
      </c>
      <c r="K18" s="776">
        <f t="shared" si="2"/>
        <v>0</v>
      </c>
      <c r="L18" s="776">
        <f t="shared" si="3"/>
        <v>0</v>
      </c>
      <c r="M18" s="777">
        <v>0.15</v>
      </c>
      <c r="N18" s="777">
        <v>1</v>
      </c>
      <c r="O18" s="778" t="s">
        <v>367</v>
      </c>
      <c r="P18" s="779">
        <f>U8</f>
        <v>0.5</v>
      </c>
      <c r="Q18" s="615"/>
      <c r="R18" s="3114"/>
      <c r="S18" s="3114"/>
      <c r="T18" s="3114"/>
      <c r="U18" s="3114"/>
      <c r="V18" s="3114"/>
      <c r="W18" s="3114"/>
      <c r="X18" s="3114"/>
      <c r="Y18" s="615"/>
      <c r="Z18" s="615"/>
      <c r="AA18" s="790" t="s">
        <v>703</v>
      </c>
      <c r="AB18" s="791">
        <f t="shared" si="4"/>
        <v>0</v>
      </c>
      <c r="AC18" s="792">
        <f>AB18*0.87</f>
        <v>0</v>
      </c>
      <c r="AD18" s="792">
        <f>AC18*$U$6</f>
        <v>0</v>
      </c>
      <c r="AE18" s="792">
        <f t="shared" si="5"/>
        <v>0</v>
      </c>
      <c r="AF18" s="792">
        <f t="shared" si="6"/>
        <v>0</v>
      </c>
      <c r="AG18" s="798" t="e">
        <f t="shared" si="7"/>
        <v>#DIV/0!</v>
      </c>
      <c r="AH18" s="799">
        <f t="shared" si="8"/>
        <v>0</v>
      </c>
      <c r="AI18" s="795">
        <f>AH18*0.87</f>
        <v>0</v>
      </c>
      <c r="AJ18" s="795">
        <f>AI18*$U$6</f>
        <v>0</v>
      </c>
      <c r="AK18" s="799">
        <f t="shared" si="9"/>
        <v>0</v>
      </c>
      <c r="AL18" s="799">
        <f t="shared" si="10"/>
        <v>0</v>
      </c>
      <c r="AM18" s="800" t="e">
        <f t="shared" si="11"/>
        <v>#DIV/0!</v>
      </c>
      <c r="AN18" s="799">
        <f t="shared" si="12"/>
        <v>0</v>
      </c>
      <c r="AO18" s="795">
        <f>AN18*0.87</f>
        <v>0</v>
      </c>
      <c r="AP18" s="795">
        <f>AO18*$U$6</f>
        <v>0</v>
      </c>
      <c r="AQ18" s="799">
        <f t="shared" si="13"/>
        <v>0</v>
      </c>
      <c r="AR18" s="799">
        <f t="shared" si="14"/>
        <v>0</v>
      </c>
      <c r="AS18" s="800" t="e">
        <f t="shared" si="15"/>
        <v>#DIV/0!</v>
      </c>
      <c r="AT18" s="799">
        <f t="shared" si="16"/>
        <v>0</v>
      </c>
      <c r="AU18" s="795">
        <f>AT18*0.87</f>
        <v>0</v>
      </c>
      <c r="AV18" s="795">
        <f>AU18*$U$6</f>
        <v>0</v>
      </c>
      <c r="AW18" s="799">
        <f t="shared" si="17"/>
        <v>0</v>
      </c>
      <c r="AX18" s="799">
        <f t="shared" si="18"/>
        <v>0</v>
      </c>
      <c r="AY18" s="800" t="e">
        <f t="shared" si="19"/>
        <v>#DIV/0!</v>
      </c>
      <c r="AZ18" s="704"/>
    </row>
    <row r="19" spans="1:52" ht="10.5" customHeight="1">
      <c r="A19" s="615"/>
      <c r="B19" s="615"/>
      <c r="C19" s="615"/>
      <c r="D19" s="615"/>
      <c r="E19" s="615"/>
      <c r="F19" s="615"/>
      <c r="G19" s="615"/>
      <c r="H19" s="615"/>
      <c r="I19" s="615"/>
      <c r="J19" s="615"/>
      <c r="K19" s="615"/>
      <c r="L19" s="615"/>
      <c r="M19" s="615"/>
      <c r="N19" s="615"/>
      <c r="O19" s="615"/>
      <c r="P19" s="615"/>
      <c r="Q19" s="615"/>
      <c r="R19" s="3114"/>
      <c r="S19" s="3114"/>
      <c r="T19" s="3114"/>
      <c r="U19" s="3114"/>
      <c r="V19" s="3114"/>
      <c r="W19" s="3114"/>
      <c r="X19" s="3114"/>
      <c r="Y19" s="615"/>
      <c r="Z19" s="615"/>
      <c r="AA19" s="790" t="s">
        <v>704</v>
      </c>
      <c r="AB19" s="791">
        <f t="shared" si="4"/>
        <v>0</v>
      </c>
      <c r="AC19" s="792">
        <f>AB19*0.87</f>
        <v>0</v>
      </c>
      <c r="AD19" s="792">
        <f>AC19*$U$7</f>
        <v>0</v>
      </c>
      <c r="AE19" s="792">
        <f t="shared" si="5"/>
        <v>0</v>
      </c>
      <c r="AF19" s="792">
        <f t="shared" si="6"/>
        <v>0</v>
      </c>
      <c r="AG19" s="793" t="e">
        <f t="shared" si="7"/>
        <v>#DIV/0!</v>
      </c>
      <c r="AH19" s="794">
        <f t="shared" si="8"/>
        <v>0</v>
      </c>
      <c r="AI19" s="794">
        <f>AH19*0.87</f>
        <v>0</v>
      </c>
      <c r="AJ19" s="794">
        <f>AI19*$U$7</f>
        <v>0</v>
      </c>
      <c r="AK19" s="794">
        <f t="shared" si="9"/>
        <v>0</v>
      </c>
      <c r="AL19" s="794">
        <f t="shared" si="10"/>
        <v>0</v>
      </c>
      <c r="AM19" s="745" t="e">
        <f t="shared" si="11"/>
        <v>#DIV/0!</v>
      </c>
      <c r="AN19" s="794">
        <f t="shared" si="12"/>
        <v>0</v>
      </c>
      <c r="AO19" s="794">
        <f>AN19*0.87</f>
        <v>0</v>
      </c>
      <c r="AP19" s="794">
        <f>AO19*$U$7</f>
        <v>0</v>
      </c>
      <c r="AQ19" s="794">
        <f t="shared" si="13"/>
        <v>0</v>
      </c>
      <c r="AR19" s="794">
        <f t="shared" si="14"/>
        <v>0</v>
      </c>
      <c r="AS19" s="745" t="e">
        <f t="shared" si="15"/>
        <v>#DIV/0!</v>
      </c>
      <c r="AT19" s="794">
        <f t="shared" si="16"/>
        <v>0</v>
      </c>
      <c r="AU19" s="794">
        <f>AT19*0.87</f>
        <v>0</v>
      </c>
      <c r="AV19" s="794">
        <f>AU19*$U$7</f>
        <v>0</v>
      </c>
      <c r="AW19" s="794">
        <f t="shared" si="17"/>
        <v>0</v>
      </c>
      <c r="AX19" s="794">
        <f t="shared" si="18"/>
        <v>0</v>
      </c>
      <c r="AY19" s="745" t="e">
        <f t="shared" si="19"/>
        <v>#DIV/0!</v>
      </c>
      <c r="AZ19" s="704"/>
    </row>
    <row r="20" spans="1:52" ht="36.75" customHeight="1">
      <c r="A20" s="3100" t="s">
        <v>705</v>
      </c>
      <c r="B20" s="3100"/>
      <c r="C20" s="801" t="s">
        <v>706</v>
      </c>
      <c r="D20" s="801" t="s">
        <v>707</v>
      </c>
      <c r="E20" s="802" t="s">
        <v>708</v>
      </c>
      <c r="F20" s="803" t="s">
        <v>168</v>
      </c>
      <c r="G20" s="804"/>
      <c r="H20" s="805" t="s">
        <v>709</v>
      </c>
      <c r="I20" s="627" t="s">
        <v>710</v>
      </c>
      <c r="J20" s="627" t="s">
        <v>711</v>
      </c>
      <c r="K20" s="627" t="s">
        <v>712</v>
      </c>
      <c r="L20" s="627" t="s">
        <v>713</v>
      </c>
      <c r="M20" s="551" t="s">
        <v>355</v>
      </c>
      <c r="N20" s="767" t="s">
        <v>356</v>
      </c>
      <c r="O20" s="627" t="s">
        <v>692</v>
      </c>
      <c r="P20" s="551" t="s">
        <v>714</v>
      </c>
      <c r="Q20" s="615"/>
      <c r="R20" s="3114"/>
      <c r="S20" s="3114"/>
      <c r="T20" s="3114"/>
      <c r="U20" s="3114"/>
      <c r="V20" s="3114"/>
      <c r="W20" s="3114"/>
      <c r="X20" s="3114"/>
      <c r="Y20" s="615"/>
      <c r="Z20" s="615"/>
      <c r="AA20" s="790" t="s">
        <v>715</v>
      </c>
      <c r="AB20" s="791">
        <f t="shared" si="4"/>
        <v>0</v>
      </c>
      <c r="AC20" s="794">
        <f>AB20*0.91</f>
        <v>0</v>
      </c>
      <c r="AD20" s="794">
        <f>AC20*$U$8</f>
        <v>0</v>
      </c>
      <c r="AE20" s="792">
        <f t="shared" si="5"/>
        <v>0</v>
      </c>
      <c r="AF20" s="792">
        <f t="shared" si="6"/>
        <v>0</v>
      </c>
      <c r="AG20" s="745" t="e">
        <f t="shared" si="7"/>
        <v>#DIV/0!</v>
      </c>
      <c r="AH20" s="794">
        <f t="shared" si="8"/>
        <v>0</v>
      </c>
      <c r="AI20" s="806">
        <f>AH20*0.91</f>
        <v>0</v>
      </c>
      <c r="AJ20" s="806">
        <f>AI20*$U$8</f>
        <v>0</v>
      </c>
      <c r="AK20" s="794">
        <f t="shared" si="9"/>
        <v>0</v>
      </c>
      <c r="AL20" s="794">
        <f t="shared" si="10"/>
        <v>0</v>
      </c>
      <c r="AM20" s="745" t="e">
        <f t="shared" si="11"/>
        <v>#DIV/0!</v>
      </c>
      <c r="AN20" s="794">
        <f t="shared" si="12"/>
        <v>0</v>
      </c>
      <c r="AO20" s="806">
        <f>AN20*0.91</f>
        <v>0</v>
      </c>
      <c r="AP20" s="806">
        <f>AO20*$U$8</f>
        <v>0</v>
      </c>
      <c r="AQ20" s="794">
        <f t="shared" si="13"/>
        <v>0</v>
      </c>
      <c r="AR20" s="794">
        <f t="shared" si="14"/>
        <v>0</v>
      </c>
      <c r="AS20" s="745" t="e">
        <f t="shared" si="15"/>
        <v>#DIV/0!</v>
      </c>
      <c r="AT20" s="794">
        <f t="shared" si="16"/>
        <v>0</v>
      </c>
      <c r="AU20" s="806">
        <f>AT20*0.91</f>
        <v>0</v>
      </c>
      <c r="AV20" s="806">
        <f>AU20*$U$8</f>
        <v>0</v>
      </c>
      <c r="AW20" s="794">
        <f t="shared" si="17"/>
        <v>0</v>
      </c>
      <c r="AX20" s="794">
        <f t="shared" si="18"/>
        <v>0</v>
      </c>
      <c r="AY20" s="745" t="e">
        <f t="shared" si="19"/>
        <v>#DIV/0!</v>
      </c>
      <c r="AZ20" s="704"/>
    </row>
    <row r="21" spans="1:52" ht="15.75">
      <c r="A21" s="807" t="s">
        <v>630</v>
      </c>
      <c r="B21" s="808">
        <f>Organ__Dü!B4</f>
        <v>0</v>
      </c>
      <c r="C21" s="809">
        <f>Organ__Dü!J4</f>
        <v>0</v>
      </c>
      <c r="D21" s="809">
        <f>Organ__Dü!K4</f>
        <v>0</v>
      </c>
      <c r="E21" s="810">
        <f>Organ__Dü!L4</f>
        <v>0</v>
      </c>
      <c r="F21" s="811">
        <f>Organ__Dü!I4</f>
        <v>0</v>
      </c>
      <c r="G21" s="804"/>
      <c r="H21" s="776">
        <f>Organ__Dü!D4</f>
        <v>0</v>
      </c>
      <c r="I21" s="774">
        <f>Organ__Dü!U63</f>
        <v>0</v>
      </c>
      <c r="J21" s="776">
        <f>Organ__Dü!V63</f>
        <v>0</v>
      </c>
      <c r="K21" s="776">
        <f>Organ__Dü!E4</f>
        <v>0</v>
      </c>
      <c r="L21" s="776">
        <f>Organ__Dü!F4</f>
        <v>0</v>
      </c>
      <c r="M21" s="777">
        <f>Organ__Dü!W63</f>
        <v>0</v>
      </c>
      <c r="N21" s="777">
        <f>Organ__Dü!G4</f>
        <v>0</v>
      </c>
      <c r="O21" s="778" t="s">
        <v>367</v>
      </c>
      <c r="P21" s="812"/>
      <c r="Q21" s="615"/>
      <c r="R21" s="3114"/>
      <c r="S21" s="3114"/>
      <c r="T21" s="3114"/>
      <c r="U21" s="3114"/>
      <c r="V21" s="3114"/>
      <c r="W21" s="3114"/>
      <c r="X21" s="3114"/>
      <c r="Y21" s="615"/>
      <c r="Z21" s="615"/>
      <c r="AA21" s="813" t="s">
        <v>716</v>
      </c>
      <c r="AB21" s="791">
        <f t="shared" si="4"/>
        <v>0</v>
      </c>
      <c r="AC21" s="799">
        <f>AB21*0.91</f>
        <v>0</v>
      </c>
      <c r="AD21" s="799">
        <f>AC21*$U$8</f>
        <v>0</v>
      </c>
      <c r="AE21" s="792">
        <f t="shared" si="5"/>
        <v>0</v>
      </c>
      <c r="AF21" s="792">
        <f t="shared" si="6"/>
        <v>0</v>
      </c>
      <c r="AG21" s="800" t="e">
        <f t="shared" si="7"/>
        <v>#DIV/0!</v>
      </c>
      <c r="AH21" s="794">
        <f t="shared" si="8"/>
        <v>0</v>
      </c>
      <c r="AI21" s="814">
        <f>AH21*0.91</f>
        <v>0</v>
      </c>
      <c r="AJ21" s="814">
        <f>AI21*$U$8</f>
        <v>0</v>
      </c>
      <c r="AK21" s="794">
        <f t="shared" si="9"/>
        <v>0</v>
      </c>
      <c r="AL21" s="794">
        <f t="shared" si="10"/>
        <v>0</v>
      </c>
      <c r="AM21" s="745" t="e">
        <f t="shared" si="11"/>
        <v>#DIV/0!</v>
      </c>
      <c r="AN21" s="794">
        <f t="shared" si="12"/>
        <v>0</v>
      </c>
      <c r="AO21" s="814">
        <f>AN21*0.91</f>
        <v>0</v>
      </c>
      <c r="AP21" s="814">
        <f>AO21*$U$8</f>
        <v>0</v>
      </c>
      <c r="AQ21" s="794">
        <f t="shared" si="13"/>
        <v>0</v>
      </c>
      <c r="AR21" s="794">
        <f t="shared" si="14"/>
        <v>0</v>
      </c>
      <c r="AS21" s="745" t="e">
        <f t="shared" si="15"/>
        <v>#DIV/0!</v>
      </c>
      <c r="AT21" s="794">
        <f t="shared" si="16"/>
        <v>0</v>
      </c>
      <c r="AU21" s="814">
        <f>AT21*0.91</f>
        <v>0</v>
      </c>
      <c r="AV21" s="814">
        <f>AU21*$U$8</f>
        <v>0</v>
      </c>
      <c r="AW21" s="794">
        <f t="shared" si="17"/>
        <v>0</v>
      </c>
      <c r="AX21" s="794">
        <f t="shared" si="18"/>
        <v>0</v>
      </c>
      <c r="AY21" s="745" t="e">
        <f t="shared" si="19"/>
        <v>#DIV/0!</v>
      </c>
      <c r="AZ21" s="704"/>
    </row>
    <row r="22" spans="1:52" ht="15.75">
      <c r="A22" s="807" t="s">
        <v>644</v>
      </c>
      <c r="B22" s="808">
        <f>Organ__Dü!B5</f>
        <v>0</v>
      </c>
      <c r="C22" s="809">
        <f>Organ__Dü!J5</f>
        <v>0</v>
      </c>
      <c r="D22" s="809">
        <f>Organ__Dü!K5</f>
        <v>0</v>
      </c>
      <c r="E22" s="810">
        <f>Organ__Dü!L5</f>
        <v>0</v>
      </c>
      <c r="F22" s="811">
        <f>Organ__Dü!I5</f>
        <v>0</v>
      </c>
      <c r="G22" s="804"/>
      <c r="H22" s="776">
        <f>Organ__Dü!D5</f>
        <v>0</v>
      </c>
      <c r="I22" s="774">
        <f>Organ__Dü!U69</f>
        <v>0</v>
      </c>
      <c r="J22" s="776">
        <f>Organ__Dü!V69</f>
        <v>0</v>
      </c>
      <c r="K22" s="776">
        <f>Organ__Dü!E5</f>
        <v>0</v>
      </c>
      <c r="L22" s="776">
        <f>Organ__Dü!F5</f>
        <v>0</v>
      </c>
      <c r="M22" s="777">
        <f>Organ__Dü!W69</f>
        <v>0</v>
      </c>
      <c r="N22" s="777">
        <f>Organ__Dü!G5</f>
        <v>0</v>
      </c>
      <c r="O22" s="778" t="s">
        <v>367</v>
      </c>
      <c r="P22" s="812"/>
      <c r="Q22" s="615"/>
      <c r="R22" s="3114"/>
      <c r="S22" s="3114"/>
      <c r="T22" s="3114"/>
      <c r="U22" s="3114"/>
      <c r="V22" s="3114"/>
      <c r="W22" s="3114"/>
      <c r="X22" s="3114"/>
      <c r="Y22" s="615"/>
      <c r="Z22" s="615"/>
      <c r="AA22" s="815" t="s">
        <v>717</v>
      </c>
      <c r="AB22" s="816">
        <f>SUM(AB16:AB21)</f>
        <v>0</v>
      </c>
      <c r="AC22" s="817">
        <f>SUM(AC16:AC21)</f>
        <v>0</v>
      </c>
      <c r="AD22" s="818">
        <f>SUM(AD16:AD21)</f>
        <v>0</v>
      </c>
      <c r="AE22" s="818">
        <f>SUM(AE16:AE21)</f>
        <v>0</v>
      </c>
      <c r="AF22" s="818">
        <f>SUM(AF16:AF21)</f>
        <v>0</v>
      </c>
      <c r="AG22" s="819" t="e">
        <f>SUM(AG16:AG19)</f>
        <v>#DIV/0!</v>
      </c>
      <c r="AH22" s="817">
        <f>SUM(AH16:AH21)</f>
        <v>0</v>
      </c>
      <c r="AI22" s="817">
        <f>SUM(AI16:AI21)</f>
        <v>0</v>
      </c>
      <c r="AJ22" s="818">
        <f>SUM(AJ16:AJ21)</f>
        <v>0</v>
      </c>
      <c r="AK22" s="820">
        <f>SUM(AK16:AK21)</f>
        <v>0</v>
      </c>
      <c r="AL22" s="816">
        <f>SUM(AL16:AL21)</f>
        <v>0</v>
      </c>
      <c r="AM22" s="819" t="e">
        <f>SUM(AM16:AM19)</f>
        <v>#DIV/0!</v>
      </c>
      <c r="AN22" s="817">
        <f>SUM(AN16:AN21)</f>
        <v>0</v>
      </c>
      <c r="AO22" s="817">
        <f>SUM(AO16:AO21)</f>
        <v>0</v>
      </c>
      <c r="AP22" s="818">
        <f>SUM(AP16:AP21)</f>
        <v>0</v>
      </c>
      <c r="AQ22" s="820">
        <f>SUM(AQ16:AQ21)</f>
        <v>0</v>
      </c>
      <c r="AR22" s="816">
        <f>SUM(AR16:AR21)</f>
        <v>0</v>
      </c>
      <c r="AS22" s="819" t="e">
        <f>SUM(AS16:AS19)</f>
        <v>#DIV/0!</v>
      </c>
      <c r="AT22" s="817">
        <f>SUM(AT16:AT21)</f>
        <v>0</v>
      </c>
      <c r="AU22" s="817">
        <f>SUM(AU16:AU21)</f>
        <v>0</v>
      </c>
      <c r="AV22" s="818">
        <f>SUM(AV16:AV21)</f>
        <v>0</v>
      </c>
      <c r="AW22" s="820">
        <f>SUM(AW16:AW21)</f>
        <v>0</v>
      </c>
      <c r="AX22" s="816">
        <f>SUM(AX16:AX21)</f>
        <v>0</v>
      </c>
      <c r="AY22" s="819" t="e">
        <f>SUM(AY16:AY19)</f>
        <v>#DIV/0!</v>
      </c>
      <c r="AZ22" s="704"/>
    </row>
    <row r="23" spans="1:52" ht="15.75" customHeight="1">
      <c r="A23" s="807" t="s">
        <v>646</v>
      </c>
      <c r="B23" s="808">
        <f>Organ__Dü!B6</f>
        <v>0</v>
      </c>
      <c r="C23" s="809">
        <f>Organ__Dü!J6</f>
        <v>0</v>
      </c>
      <c r="D23" s="809">
        <f>Organ__Dü!K6</f>
        <v>0</v>
      </c>
      <c r="E23" s="810">
        <f>Organ__Dü!L6</f>
        <v>0</v>
      </c>
      <c r="F23" s="811">
        <f>Organ__Dü!I6</f>
        <v>0</v>
      </c>
      <c r="G23" s="804"/>
      <c r="H23" s="776">
        <f>Organ__Dü!D6</f>
        <v>0</v>
      </c>
      <c r="I23" s="774">
        <f>Organ__Dü!U75</f>
        <v>0</v>
      </c>
      <c r="J23" s="776">
        <f>Organ__Dü!V75</f>
        <v>0</v>
      </c>
      <c r="K23" s="776">
        <f>Organ__Dü!E6</f>
        <v>0</v>
      </c>
      <c r="L23" s="776">
        <f>Organ__Dü!F6</f>
        <v>0</v>
      </c>
      <c r="M23" s="777">
        <f>Organ__Dü!W75</f>
        <v>0</v>
      </c>
      <c r="N23" s="777">
        <f>Organ__Dü!G6</f>
        <v>0</v>
      </c>
      <c r="O23" s="778" t="s">
        <v>367</v>
      </c>
      <c r="P23" s="812"/>
      <c r="Q23" s="615"/>
      <c r="R23" s="615"/>
      <c r="S23" s="615"/>
      <c r="T23" s="615"/>
      <c r="U23" s="615"/>
      <c r="V23" s="615"/>
      <c r="W23" s="615"/>
      <c r="X23" s="615"/>
      <c r="Y23" s="615"/>
      <c r="Z23" s="615"/>
      <c r="AA23" s="788" t="s">
        <v>3</v>
      </c>
      <c r="AD23" s="821">
        <f>$U$4</f>
        <v>0.7</v>
      </c>
      <c r="AE23" s="822" t="e">
        <f t="shared" ref="AE23:AE28" si="21">(AG16*AD23)*100</f>
        <v>#DIV/0!</v>
      </c>
      <c r="AF23" s="823">
        <v>0.5</v>
      </c>
      <c r="AG23" s="822" t="e">
        <f t="shared" ref="AG23:AG28" si="22">(AG16*AF23)</f>
        <v>#DIV/0!</v>
      </c>
      <c r="AJ23" s="821">
        <f>$U$4</f>
        <v>0.7</v>
      </c>
      <c r="AK23" s="822" t="e">
        <f t="shared" ref="AK23:AK28" si="23">(AM16*AJ23)*100</f>
        <v>#DIV/0!</v>
      </c>
      <c r="AL23" s="823">
        <v>0.5</v>
      </c>
      <c r="AM23" s="822" t="e">
        <f t="shared" ref="AM23:AM28" si="24">(AM16*AL23)</f>
        <v>#DIV/0!</v>
      </c>
      <c r="AP23" s="821">
        <f>$U$4</f>
        <v>0.7</v>
      </c>
      <c r="AQ23" s="822" t="e">
        <f t="shared" ref="AQ23:AQ28" si="25">(AS16*AP23)*100</f>
        <v>#DIV/0!</v>
      </c>
      <c r="AR23" s="823">
        <v>0.5</v>
      </c>
      <c r="AS23" s="822" t="e">
        <f t="shared" ref="AS23:AS28" si="26">(AS16*AR23)</f>
        <v>#DIV/0!</v>
      </c>
      <c r="AV23" s="821">
        <f>$U$4</f>
        <v>0.7</v>
      </c>
      <c r="AW23" s="824" t="e">
        <f t="shared" ref="AW23:AW28" si="27">(AY16*AV23)*100</f>
        <v>#DIV/0!</v>
      </c>
      <c r="AX23" s="825">
        <v>0.5</v>
      </c>
      <c r="AY23" s="824" t="e">
        <f t="shared" ref="AY23:AY28" si="28">(AY16*AX23)</f>
        <v>#DIV/0!</v>
      </c>
      <c r="AZ23" s="704"/>
    </row>
    <row r="24" spans="1:52" ht="15.75">
      <c r="A24" s="807" t="s">
        <v>647</v>
      </c>
      <c r="B24" s="808">
        <f>Organ__Dü!B7</f>
        <v>0</v>
      </c>
      <c r="C24" s="809">
        <f>Organ__Dü!J7</f>
        <v>0</v>
      </c>
      <c r="D24" s="809">
        <f>Organ__Dü!K7</f>
        <v>0</v>
      </c>
      <c r="E24" s="810">
        <f>Organ__Dü!L7</f>
        <v>0</v>
      </c>
      <c r="F24" s="811">
        <f>Organ__Dü!I7</f>
        <v>0</v>
      </c>
      <c r="G24" s="804"/>
      <c r="H24" s="776">
        <f>Organ__Dü!D7</f>
        <v>0</v>
      </c>
      <c r="I24" s="774">
        <f>Organ__Dü!U81</f>
        <v>0</v>
      </c>
      <c r="J24" s="776">
        <f>Organ__Dü!V81</f>
        <v>0</v>
      </c>
      <c r="K24" s="776">
        <f>Organ__Dü!E7</f>
        <v>0</v>
      </c>
      <c r="L24" s="776">
        <f>Organ__Dü!F7</f>
        <v>0</v>
      </c>
      <c r="M24" s="777">
        <f>Organ__Dü!W81</f>
        <v>0</v>
      </c>
      <c r="N24" s="777">
        <f>Organ__Dü!G7</f>
        <v>0</v>
      </c>
      <c r="O24" s="778" t="s">
        <v>367</v>
      </c>
      <c r="P24" s="812"/>
      <c r="Q24" s="615"/>
      <c r="R24" s="615"/>
      <c r="S24" s="615"/>
      <c r="T24" s="615"/>
      <c r="U24" s="615"/>
      <c r="V24" s="615"/>
      <c r="W24" s="615"/>
      <c r="X24" s="615"/>
      <c r="Y24" s="615"/>
      <c r="Z24" s="615"/>
      <c r="AA24" s="788" t="s">
        <v>718</v>
      </c>
      <c r="AD24" s="775">
        <f>$U$5</f>
        <v>0.8</v>
      </c>
      <c r="AE24" s="826" t="e">
        <f t="shared" si="21"/>
        <v>#DIV/0!</v>
      </c>
      <c r="AF24" s="827">
        <v>0.65</v>
      </c>
      <c r="AG24" s="822" t="e">
        <f t="shared" si="22"/>
        <v>#DIV/0!</v>
      </c>
      <c r="AJ24" s="775">
        <f>$U$5</f>
        <v>0.8</v>
      </c>
      <c r="AK24" s="826" t="e">
        <f t="shared" si="23"/>
        <v>#DIV/0!</v>
      </c>
      <c r="AL24" s="827">
        <v>0.65</v>
      </c>
      <c r="AM24" s="826" t="e">
        <f t="shared" si="24"/>
        <v>#DIV/0!</v>
      </c>
      <c r="AP24" s="775">
        <f>$U$5</f>
        <v>0.8</v>
      </c>
      <c r="AQ24" s="826" t="e">
        <f t="shared" si="25"/>
        <v>#DIV/0!</v>
      </c>
      <c r="AR24" s="827">
        <v>0.65</v>
      </c>
      <c r="AS24" s="826" t="e">
        <f t="shared" si="26"/>
        <v>#DIV/0!</v>
      </c>
      <c r="AV24" s="775">
        <f>$U$5</f>
        <v>0.8</v>
      </c>
      <c r="AW24" s="828" t="e">
        <f t="shared" si="27"/>
        <v>#DIV/0!</v>
      </c>
      <c r="AX24" s="829">
        <v>0.65</v>
      </c>
      <c r="AY24" s="828" t="e">
        <f t="shared" si="28"/>
        <v>#DIV/0!</v>
      </c>
      <c r="AZ24" s="704"/>
    </row>
    <row r="25" spans="1:52" ht="15.75">
      <c r="A25" s="807" t="s">
        <v>719</v>
      </c>
      <c r="B25" s="808">
        <f>Organ__Dü!B9</f>
        <v>0</v>
      </c>
      <c r="C25" s="809">
        <f>Organ__Dü!J9</f>
        <v>0</v>
      </c>
      <c r="D25" s="809">
        <f>Organ__Dü!K9</f>
        <v>0</v>
      </c>
      <c r="E25" s="810">
        <f>Organ__Dü!L9</f>
        <v>0</v>
      </c>
      <c r="F25" s="811">
        <f>Organ__Dü!I9</f>
        <v>0</v>
      </c>
      <c r="G25" s="804"/>
      <c r="H25" s="776">
        <f>Organ__Dü!D9</f>
        <v>0</v>
      </c>
      <c r="I25" s="774">
        <f>Organ__Dü!U85</f>
        <v>0</v>
      </c>
      <c r="J25" s="776">
        <f>Organ__Dü!V85</f>
        <v>0</v>
      </c>
      <c r="K25" s="776">
        <f>Organ__Dü!E9</f>
        <v>0</v>
      </c>
      <c r="L25" s="776">
        <f>Organ__Dü!F9</f>
        <v>0</v>
      </c>
      <c r="M25" s="777">
        <f>Organ__Dü!W85</f>
        <v>0</v>
      </c>
      <c r="N25" s="777">
        <f>Organ__Dü!G9</f>
        <v>0</v>
      </c>
      <c r="O25" s="778" t="s">
        <v>367</v>
      </c>
      <c r="P25" s="812"/>
      <c r="Q25" s="615"/>
      <c r="R25" s="615"/>
      <c r="S25" s="615"/>
      <c r="T25" s="615"/>
      <c r="U25" s="615"/>
      <c r="V25" s="615"/>
      <c r="W25" s="615"/>
      <c r="X25" s="615"/>
      <c r="Y25" s="615"/>
      <c r="Z25" s="615"/>
      <c r="AA25" s="788" t="s">
        <v>258</v>
      </c>
      <c r="AD25" s="775">
        <f>$U$6</f>
        <v>0.85</v>
      </c>
      <c r="AE25" s="826" t="e">
        <f t="shared" si="21"/>
        <v>#DIV/0!</v>
      </c>
      <c r="AF25" s="827">
        <v>0.60000000000000009</v>
      </c>
      <c r="AG25" s="826" t="e">
        <f t="shared" si="22"/>
        <v>#DIV/0!</v>
      </c>
      <c r="AJ25" s="775">
        <f>$U$6</f>
        <v>0.85</v>
      </c>
      <c r="AK25" s="826" t="e">
        <f t="shared" si="23"/>
        <v>#DIV/0!</v>
      </c>
      <c r="AL25" s="827">
        <v>0.60000000000000009</v>
      </c>
      <c r="AM25" s="826" t="e">
        <f t="shared" si="24"/>
        <v>#DIV/0!</v>
      </c>
      <c r="AP25" s="775">
        <f>$U$6</f>
        <v>0.85</v>
      </c>
      <c r="AQ25" s="826" t="e">
        <f t="shared" si="25"/>
        <v>#DIV/0!</v>
      </c>
      <c r="AR25" s="827">
        <v>0.60000000000000009</v>
      </c>
      <c r="AS25" s="826" t="e">
        <f t="shared" si="26"/>
        <v>#DIV/0!</v>
      </c>
      <c r="AV25" s="775">
        <f>$U$6</f>
        <v>0.85</v>
      </c>
      <c r="AW25" s="826" t="e">
        <f t="shared" si="27"/>
        <v>#DIV/0!</v>
      </c>
      <c r="AX25" s="827">
        <v>0.60000000000000009</v>
      </c>
      <c r="AY25" s="822" t="e">
        <f t="shared" si="28"/>
        <v>#DIV/0!</v>
      </c>
      <c r="AZ25" s="704"/>
    </row>
    <row r="26" spans="1:52" ht="15.75" customHeight="1">
      <c r="A26" s="807" t="s">
        <v>720</v>
      </c>
      <c r="B26" s="808">
        <f>Organ__Dü!B10</f>
        <v>0</v>
      </c>
      <c r="C26" s="809">
        <f>Organ__Dü!J10</f>
        <v>0</v>
      </c>
      <c r="D26" s="809">
        <f>Organ__Dü!K10</f>
        <v>0</v>
      </c>
      <c r="E26" s="810">
        <f>Organ__Dü!L10</f>
        <v>0</v>
      </c>
      <c r="F26" s="811">
        <f>Organ__Dü!I10</f>
        <v>0</v>
      </c>
      <c r="G26" s="804"/>
      <c r="H26" s="776">
        <f>Organ__Dü!D10</f>
        <v>0</v>
      </c>
      <c r="I26" s="774">
        <f>Organ__Dü!U89</f>
        <v>0</v>
      </c>
      <c r="J26" s="776">
        <f>Organ__Dü!V89</f>
        <v>0</v>
      </c>
      <c r="K26" s="776">
        <f>Organ__Dü!E10</f>
        <v>0</v>
      </c>
      <c r="L26" s="776">
        <f>Organ__Dü!F10</f>
        <v>0</v>
      </c>
      <c r="M26" s="777">
        <f>Organ__Dü!W89</f>
        <v>0</v>
      </c>
      <c r="N26" s="777">
        <f>Organ__Dü!G10</f>
        <v>0</v>
      </c>
      <c r="O26" s="778" t="s">
        <v>367</v>
      </c>
      <c r="P26" s="812"/>
      <c r="Q26" s="615"/>
      <c r="R26" s="615"/>
      <c r="S26" s="615"/>
      <c r="T26" s="615"/>
      <c r="U26" s="615"/>
      <c r="V26" s="615"/>
      <c r="W26" s="615"/>
      <c r="X26" s="615"/>
      <c r="Y26" s="615"/>
      <c r="Z26" s="615"/>
      <c r="AA26" s="788" t="s">
        <v>22</v>
      </c>
      <c r="AD26" s="775">
        <f>$U$7</f>
        <v>1</v>
      </c>
      <c r="AE26" s="826" t="e">
        <f t="shared" si="21"/>
        <v>#DIV/0!</v>
      </c>
      <c r="AF26" s="827">
        <v>0.9</v>
      </c>
      <c r="AG26" s="826" t="e">
        <f t="shared" si="22"/>
        <v>#DIV/0!</v>
      </c>
      <c r="AJ26" s="775">
        <f>$U$7</f>
        <v>1</v>
      </c>
      <c r="AK26" s="826" t="e">
        <f t="shared" si="23"/>
        <v>#DIV/0!</v>
      </c>
      <c r="AL26" s="827">
        <v>0.9</v>
      </c>
      <c r="AM26" s="826" t="e">
        <f t="shared" si="24"/>
        <v>#DIV/0!</v>
      </c>
      <c r="AP26" s="775">
        <f>$U$7</f>
        <v>1</v>
      </c>
      <c r="AQ26" s="826" t="e">
        <f t="shared" si="25"/>
        <v>#DIV/0!</v>
      </c>
      <c r="AR26" s="827">
        <v>0.9</v>
      </c>
      <c r="AS26" s="826" t="e">
        <f t="shared" si="26"/>
        <v>#DIV/0!</v>
      </c>
      <c r="AV26" s="775">
        <f>$U$7</f>
        <v>1</v>
      </c>
      <c r="AW26" s="828" t="e">
        <f t="shared" si="27"/>
        <v>#DIV/0!</v>
      </c>
      <c r="AX26" s="829">
        <v>0.9</v>
      </c>
      <c r="AY26" s="824" t="e">
        <f t="shared" si="28"/>
        <v>#DIV/0!</v>
      </c>
      <c r="AZ26" s="704"/>
    </row>
    <row r="27" spans="1:52" ht="15.75">
      <c r="A27" s="807" t="s">
        <v>721</v>
      </c>
      <c r="B27" s="808">
        <f>Organ__Dü!B11</f>
        <v>0</v>
      </c>
      <c r="C27" s="809">
        <f>Organ__Dü!J11</f>
        <v>0</v>
      </c>
      <c r="D27" s="809">
        <f>Organ__Dü!K11</f>
        <v>0</v>
      </c>
      <c r="E27" s="810">
        <f>Organ__Dü!L11</f>
        <v>0</v>
      </c>
      <c r="F27" s="811">
        <f>Organ__Dü!I11</f>
        <v>0</v>
      </c>
      <c r="G27" s="804"/>
      <c r="H27" s="776">
        <f>Organ__Dü!D11</f>
        <v>0</v>
      </c>
      <c r="I27" s="774">
        <f>Organ__Dü!U93</f>
        <v>0</v>
      </c>
      <c r="J27" s="776">
        <f>Organ__Dü!V93</f>
        <v>0</v>
      </c>
      <c r="K27" s="776">
        <f>Organ__Dü!E11</f>
        <v>0</v>
      </c>
      <c r="L27" s="776">
        <f>Organ__Dü!F11</f>
        <v>0</v>
      </c>
      <c r="M27" s="777">
        <f>Organ__Dü!W93</f>
        <v>0</v>
      </c>
      <c r="N27" s="777">
        <f>Organ__Dü!G11</f>
        <v>0</v>
      </c>
      <c r="O27" s="778" t="s">
        <v>367</v>
      </c>
      <c r="P27" s="812"/>
      <c r="Q27" s="615"/>
      <c r="R27" s="615"/>
      <c r="S27" s="615"/>
      <c r="T27" s="615"/>
      <c r="U27" s="615"/>
      <c r="V27" s="615"/>
      <c r="W27" s="615"/>
      <c r="X27" s="615"/>
      <c r="Y27" s="615"/>
      <c r="Z27" s="615"/>
      <c r="AA27" s="788" t="s">
        <v>23</v>
      </c>
      <c r="AD27" s="775">
        <f>$U$8</f>
        <v>0.5</v>
      </c>
      <c r="AE27" s="826" t="e">
        <f t="shared" si="21"/>
        <v>#DIV/0!</v>
      </c>
      <c r="AF27" s="827">
        <v>0.15</v>
      </c>
      <c r="AG27" s="826" t="e">
        <f t="shared" si="22"/>
        <v>#DIV/0!</v>
      </c>
      <c r="AJ27" s="775">
        <f>$U$8</f>
        <v>0.5</v>
      </c>
      <c r="AK27" s="826" t="e">
        <f t="shared" si="23"/>
        <v>#DIV/0!</v>
      </c>
      <c r="AL27" s="827">
        <v>0.15</v>
      </c>
      <c r="AM27" s="826" t="e">
        <f t="shared" si="24"/>
        <v>#DIV/0!</v>
      </c>
      <c r="AP27" s="775">
        <f>$U$8</f>
        <v>0.5</v>
      </c>
      <c r="AQ27" s="826" t="e">
        <f t="shared" si="25"/>
        <v>#DIV/0!</v>
      </c>
      <c r="AR27" s="827">
        <v>0.15</v>
      </c>
      <c r="AS27" s="826" t="e">
        <f t="shared" si="26"/>
        <v>#DIV/0!</v>
      </c>
      <c r="AV27" s="775">
        <f>$U$8</f>
        <v>0.5</v>
      </c>
      <c r="AW27" s="826" t="e">
        <f t="shared" si="27"/>
        <v>#DIV/0!</v>
      </c>
      <c r="AX27" s="827">
        <v>0.15</v>
      </c>
      <c r="AY27" s="822" t="e">
        <f t="shared" si="28"/>
        <v>#DIV/0!</v>
      </c>
      <c r="AZ27" s="704"/>
    </row>
    <row r="28" spans="1:52" ht="15.75">
      <c r="A28" s="807" t="s">
        <v>722</v>
      </c>
      <c r="B28" s="808">
        <f>Organ__Dü!B13</f>
        <v>0</v>
      </c>
      <c r="C28" s="809">
        <f>Organ__Dü!J13</f>
        <v>0</v>
      </c>
      <c r="D28" s="809">
        <f>Organ__Dü!K13</f>
        <v>0</v>
      </c>
      <c r="E28" s="810">
        <f>Organ__Dü!L13</f>
        <v>0</v>
      </c>
      <c r="F28" s="811">
        <f>Organ__Dü!I13</f>
        <v>0</v>
      </c>
      <c r="G28" s="804"/>
      <c r="H28" s="776">
        <f>Organ__Dü!D13</f>
        <v>0</v>
      </c>
      <c r="I28" s="774">
        <f>Organ__Dü!U102</f>
        <v>0</v>
      </c>
      <c r="J28" s="776">
        <f>Organ__Dü!V102</f>
        <v>0</v>
      </c>
      <c r="K28" s="776">
        <f>Organ__Dü!E13</f>
        <v>0</v>
      </c>
      <c r="L28" s="776">
        <f>Organ__Dü!F13</f>
        <v>0</v>
      </c>
      <c r="M28" s="777">
        <f>Organ__Dü!W102</f>
        <v>0</v>
      </c>
      <c r="N28" s="777">
        <f>Organ__Dü!G13</f>
        <v>0</v>
      </c>
      <c r="O28" s="778" t="s">
        <v>367</v>
      </c>
      <c r="P28" s="812"/>
      <c r="Q28" s="615"/>
      <c r="R28" s="615"/>
      <c r="S28" s="615"/>
      <c r="T28" s="615"/>
      <c r="U28" s="615"/>
      <c r="V28" s="615"/>
      <c r="W28" s="615"/>
      <c r="X28" s="615"/>
      <c r="Y28" s="615"/>
      <c r="Z28" s="615"/>
      <c r="AA28" s="788" t="s">
        <v>23</v>
      </c>
      <c r="AD28" s="775">
        <f>$U$8</f>
        <v>0.5</v>
      </c>
      <c r="AE28" s="830" t="e">
        <f t="shared" si="21"/>
        <v>#DIV/0!</v>
      </c>
      <c r="AF28" s="827">
        <v>0.15</v>
      </c>
      <c r="AG28" s="826" t="e">
        <f t="shared" si="22"/>
        <v>#DIV/0!</v>
      </c>
      <c r="AJ28" s="775">
        <f>$U$8</f>
        <v>0.5</v>
      </c>
      <c r="AK28" s="826" t="e">
        <f t="shared" si="23"/>
        <v>#DIV/0!</v>
      </c>
      <c r="AL28" s="827">
        <v>0.15</v>
      </c>
      <c r="AM28" s="826" t="e">
        <f t="shared" si="24"/>
        <v>#DIV/0!</v>
      </c>
      <c r="AP28" s="775">
        <f>$U$8</f>
        <v>0.5</v>
      </c>
      <c r="AQ28" s="826" t="e">
        <f t="shared" si="25"/>
        <v>#DIV/0!</v>
      </c>
      <c r="AR28" s="827">
        <v>0.15</v>
      </c>
      <c r="AS28" s="826" t="e">
        <f t="shared" si="26"/>
        <v>#DIV/0!</v>
      </c>
      <c r="AV28" s="775">
        <f>$U$8</f>
        <v>0.5</v>
      </c>
      <c r="AW28" s="826" t="e">
        <f t="shared" si="27"/>
        <v>#DIV/0!</v>
      </c>
      <c r="AX28" s="827">
        <v>0.15</v>
      </c>
      <c r="AY28" s="826" t="e">
        <f t="shared" si="28"/>
        <v>#DIV/0!</v>
      </c>
      <c r="AZ28" s="704"/>
    </row>
    <row r="29" spans="1:52" ht="15.75" customHeight="1">
      <c r="A29" s="807" t="s">
        <v>723</v>
      </c>
      <c r="B29" s="808">
        <f>Organ__Dü!B14</f>
        <v>0</v>
      </c>
      <c r="C29" s="809">
        <f>Organ__Dü!J14</f>
        <v>0</v>
      </c>
      <c r="D29" s="809">
        <f>Organ__Dü!K14</f>
        <v>0</v>
      </c>
      <c r="E29" s="810">
        <f>Organ__Dü!L14</f>
        <v>0</v>
      </c>
      <c r="F29" s="811">
        <f>Organ__Dü!I14</f>
        <v>0</v>
      </c>
      <c r="G29" s="804"/>
      <c r="H29" s="776">
        <f>Organ__Dü!D14</f>
        <v>0</v>
      </c>
      <c r="I29" s="774">
        <f>Organ__Dü!U111</f>
        <v>0</v>
      </c>
      <c r="J29" s="776">
        <f>Organ__Dü!V111</f>
        <v>0</v>
      </c>
      <c r="K29" s="776">
        <f>Organ__Dü!E14</f>
        <v>0</v>
      </c>
      <c r="L29" s="776">
        <f>Organ__Dü!F14</f>
        <v>0</v>
      </c>
      <c r="M29" s="777">
        <f>Organ__Dü!W111</f>
        <v>0</v>
      </c>
      <c r="N29" s="777">
        <f>Organ__Dü!G14</f>
        <v>0</v>
      </c>
      <c r="O29" s="778" t="s">
        <v>367</v>
      </c>
      <c r="P29" s="812"/>
      <c r="Q29" s="615"/>
      <c r="R29" s="615"/>
      <c r="S29" s="615"/>
      <c r="T29" s="615"/>
      <c r="U29" s="615"/>
      <c r="V29" s="615"/>
      <c r="W29" s="615"/>
      <c r="X29" s="615"/>
      <c r="Y29" s="615"/>
      <c r="Z29" s="615"/>
      <c r="AA29" s="784"/>
      <c r="AD29" s="775" t="s">
        <v>724</v>
      </c>
      <c r="AE29" s="826" t="e">
        <f>SUM(AE23:AE28)</f>
        <v>#DIV/0!</v>
      </c>
      <c r="AF29" s="827" t="s">
        <v>725</v>
      </c>
      <c r="AG29" s="831" t="e">
        <f>SUM(AG23:AG28)</f>
        <v>#DIV/0!</v>
      </c>
      <c r="AJ29" s="832" t="s">
        <v>724</v>
      </c>
      <c r="AK29" s="833" t="e">
        <f>SUM(AK23:AK28)</f>
        <v>#DIV/0!</v>
      </c>
      <c r="AL29" s="833" t="s">
        <v>725</v>
      </c>
      <c r="AM29" s="831" t="e">
        <f>SUM(AM23:AM28)</f>
        <v>#DIV/0!</v>
      </c>
      <c r="AP29" s="832" t="s">
        <v>724</v>
      </c>
      <c r="AQ29" s="833" t="e">
        <f>SUM(AQ23:AQ28)</f>
        <v>#DIV/0!</v>
      </c>
      <c r="AR29" s="833" t="s">
        <v>725</v>
      </c>
      <c r="AS29" s="831" t="e">
        <f>SUM(AS23:AS28)</f>
        <v>#DIV/0!</v>
      </c>
      <c r="AV29" s="832" t="s">
        <v>724</v>
      </c>
      <c r="AW29" s="833" t="e">
        <f>SUM(AW23:AW28)</f>
        <v>#DIV/0!</v>
      </c>
      <c r="AX29" s="833" t="s">
        <v>725</v>
      </c>
      <c r="AY29" s="831" t="e">
        <f>SUM(AY23:AY28)</f>
        <v>#DIV/0!</v>
      </c>
      <c r="AZ29" s="704"/>
    </row>
    <row r="30" spans="1:52" ht="15.75">
      <c r="A30" s="834" t="s">
        <v>726</v>
      </c>
      <c r="B30" s="808">
        <f>Organ__Dü!B15</f>
        <v>0</v>
      </c>
      <c r="C30" s="809">
        <f>Organ__Dü!J15</f>
        <v>0</v>
      </c>
      <c r="D30" s="809">
        <f>Organ__Dü!K15</f>
        <v>0</v>
      </c>
      <c r="E30" s="810">
        <f>Organ__Dü!L15</f>
        <v>0</v>
      </c>
      <c r="F30" s="811">
        <f>Organ__Dü!I15</f>
        <v>0</v>
      </c>
      <c r="G30" s="804"/>
      <c r="H30" s="776">
        <f>Organ__Dü!D15</f>
        <v>0</v>
      </c>
      <c r="I30" s="774">
        <f>Organ__Dü!U120</f>
        <v>0</v>
      </c>
      <c r="J30" s="776">
        <f>Organ__Dü!V120</f>
        <v>0</v>
      </c>
      <c r="K30" s="776">
        <f>Organ__Dü!E15</f>
        <v>0</v>
      </c>
      <c r="L30" s="776">
        <f>Organ__Dü!F15</f>
        <v>0</v>
      </c>
      <c r="M30" s="777">
        <f>Organ__Dü!W120</f>
        <v>0</v>
      </c>
      <c r="N30" s="777">
        <f>Organ__Dü!G15</f>
        <v>0</v>
      </c>
      <c r="O30" s="778" t="s">
        <v>367</v>
      </c>
      <c r="P30" s="812"/>
      <c r="Q30" s="615"/>
      <c r="R30" s="615"/>
      <c r="S30" s="615"/>
      <c r="T30" s="615"/>
      <c r="U30" s="615"/>
      <c r="V30" s="615"/>
      <c r="W30" s="615"/>
      <c r="X30" s="615"/>
      <c r="Y30" s="615"/>
      <c r="Z30" s="703"/>
      <c r="AA30" s="784"/>
      <c r="AZ30" s="704"/>
    </row>
    <row r="31" spans="1:52" ht="13.5" customHeight="1">
      <c r="A31" s="3025" t="s">
        <v>727</v>
      </c>
      <c r="B31" s="808">
        <f>Organ__Dü!B18</f>
        <v>0</v>
      </c>
      <c r="C31" s="809">
        <f>Organ__Dü!J18</f>
        <v>0</v>
      </c>
      <c r="D31" s="809">
        <f>Organ__Dü!K18</f>
        <v>0</v>
      </c>
      <c r="E31" s="810">
        <f>Organ__Dü!L18</f>
        <v>0</v>
      </c>
      <c r="F31" s="811">
        <f>Organ__Dü!I18</f>
        <v>0</v>
      </c>
      <c r="G31" s="804"/>
      <c r="H31" s="776">
        <f>Organ__Dü!D18</f>
        <v>0</v>
      </c>
      <c r="I31" s="774">
        <f>H31*0.87</f>
        <v>0</v>
      </c>
      <c r="J31" s="776">
        <f>I31*U4</f>
        <v>0</v>
      </c>
      <c r="K31" s="776">
        <f>Organ__Dü!E18</f>
        <v>0</v>
      </c>
      <c r="L31" s="776">
        <f>Organ__Dü!F18</f>
        <v>0</v>
      </c>
      <c r="M31" s="777">
        <v>0.5</v>
      </c>
      <c r="N31" s="777">
        <v>0</v>
      </c>
      <c r="O31" s="778" t="s">
        <v>367</v>
      </c>
      <c r="P31" s="812"/>
      <c r="Q31" s="615"/>
      <c r="R31" s="615"/>
      <c r="S31" s="615"/>
      <c r="T31" s="615"/>
      <c r="U31" s="615"/>
      <c r="V31" s="615"/>
      <c r="W31" s="615"/>
      <c r="X31" s="615"/>
      <c r="Y31" s="615"/>
      <c r="Z31" s="703"/>
      <c r="AA31" s="784"/>
      <c r="AZ31" s="704"/>
    </row>
    <row r="32" spans="1:52" ht="13.5" customHeight="1">
      <c r="A32" s="3025"/>
      <c r="B32" s="808">
        <f>Organ__Dü!B19</f>
        <v>0</v>
      </c>
      <c r="C32" s="809">
        <f>Organ__Dü!J19</f>
        <v>0</v>
      </c>
      <c r="D32" s="809">
        <f>Organ__Dü!K19</f>
        <v>0</v>
      </c>
      <c r="E32" s="810">
        <f>Organ__Dü!L19</f>
        <v>0</v>
      </c>
      <c r="F32" s="811">
        <f>Organ__Dü!I19</f>
        <v>0</v>
      </c>
      <c r="G32" s="804"/>
      <c r="H32" s="776">
        <f>Organ__Dü!D19</f>
        <v>0</v>
      </c>
      <c r="I32" s="774">
        <f>H32*0.91</f>
        <v>0</v>
      </c>
      <c r="J32" s="776">
        <f>I32*U8</f>
        <v>0</v>
      </c>
      <c r="K32" s="776">
        <f>Organ__Dü!E19</f>
        <v>0</v>
      </c>
      <c r="L32" s="776">
        <f>Organ__Dü!F19</f>
        <v>0</v>
      </c>
      <c r="M32" s="777">
        <v>0.15</v>
      </c>
      <c r="N32" s="777">
        <v>0</v>
      </c>
      <c r="O32" s="778" t="s">
        <v>367</v>
      </c>
      <c r="P32" s="812"/>
      <c r="Q32" s="615"/>
      <c r="R32" s="615"/>
      <c r="S32" s="615"/>
      <c r="T32" s="615"/>
      <c r="U32" s="615"/>
      <c r="V32" s="615"/>
      <c r="W32" s="615"/>
      <c r="X32" s="615"/>
      <c r="Y32" s="615"/>
      <c r="Z32" s="615"/>
      <c r="AA32" s="784"/>
      <c r="AB32" s="402" t="s">
        <v>180</v>
      </c>
      <c r="AC32" s="829" t="s">
        <v>124</v>
      </c>
      <c r="AD32" s="829" t="s">
        <v>125</v>
      </c>
      <c r="AZ32" s="704"/>
    </row>
    <row r="33" spans="1:52" ht="13.5" customHeight="1">
      <c r="A33" s="3025"/>
      <c r="B33" s="808">
        <f>Organ__Dü!B20</f>
        <v>0</v>
      </c>
      <c r="C33" s="809">
        <f>Organ__Dü!J20</f>
        <v>0</v>
      </c>
      <c r="D33" s="809">
        <f>Organ__Dü!K20</f>
        <v>0</v>
      </c>
      <c r="E33" s="810">
        <f>Organ__Dü!L20</f>
        <v>0</v>
      </c>
      <c r="F33" s="811">
        <f>Organ__Dü!I20</f>
        <v>0</v>
      </c>
      <c r="G33" s="804"/>
      <c r="H33" s="776">
        <f>Organ__Dü!D20</f>
        <v>0</v>
      </c>
      <c r="I33" s="774">
        <f>H33*0.91</f>
        <v>0</v>
      </c>
      <c r="J33" s="776">
        <f>I33*U8</f>
        <v>0</v>
      </c>
      <c r="K33" s="776">
        <f>Organ__Dü!E20</f>
        <v>0</v>
      </c>
      <c r="L33" s="776">
        <f>Organ__Dü!F20</f>
        <v>0</v>
      </c>
      <c r="M33" s="777">
        <v>0.15</v>
      </c>
      <c r="N33" s="777">
        <v>0</v>
      </c>
      <c r="O33" s="778" t="s">
        <v>367</v>
      </c>
      <c r="P33" s="812"/>
      <c r="Q33" s="615"/>
      <c r="R33" s="615"/>
      <c r="S33" s="615"/>
      <c r="T33" s="615"/>
      <c r="U33" s="615"/>
      <c r="V33" s="615"/>
      <c r="W33" s="615"/>
      <c r="X33" s="615"/>
      <c r="Y33" s="615"/>
      <c r="Z33" s="615"/>
      <c r="AA33" s="835" t="s">
        <v>728</v>
      </c>
      <c r="AB33" s="836">
        <f t="shared" ref="AB33:AD34" si="29">C8*$F8</f>
        <v>0</v>
      </c>
      <c r="AC33" s="836">
        <f t="shared" si="29"/>
        <v>0</v>
      </c>
      <c r="AD33" s="836">
        <f t="shared" si="29"/>
        <v>0</v>
      </c>
      <c r="AZ33" s="704"/>
    </row>
    <row r="34" spans="1:52" ht="13.5" customHeight="1">
      <c r="A34" s="3025"/>
      <c r="B34" s="808">
        <f>Organ__Dü!B21</f>
        <v>0</v>
      </c>
      <c r="C34" s="809">
        <f>Organ__Dü!J21</f>
        <v>0</v>
      </c>
      <c r="D34" s="809">
        <f>Organ__Dü!K21</f>
        <v>0</v>
      </c>
      <c r="E34" s="810">
        <f>Organ__Dü!L21</f>
        <v>0</v>
      </c>
      <c r="F34" s="811">
        <f>Organ__Dü!I21</f>
        <v>0</v>
      </c>
      <c r="G34" s="804"/>
      <c r="H34" s="776">
        <f>Organ__Dü!D21</f>
        <v>0</v>
      </c>
      <c r="I34" s="774">
        <f>H34*0.91</f>
        <v>0</v>
      </c>
      <c r="J34" s="776">
        <f>I34*U10</f>
        <v>0</v>
      </c>
      <c r="K34" s="776">
        <f>Organ__Dü!E21</f>
        <v>0</v>
      </c>
      <c r="L34" s="776">
        <f>Organ__Dü!F21</f>
        <v>0</v>
      </c>
      <c r="M34" s="777">
        <v>0.01</v>
      </c>
      <c r="N34" s="777">
        <v>0</v>
      </c>
      <c r="O34" s="778" t="s">
        <v>367</v>
      </c>
      <c r="P34" s="837"/>
      <c r="Q34" s="615"/>
      <c r="R34" s="615"/>
      <c r="S34" s="704"/>
      <c r="T34" s="615"/>
      <c r="U34" s="615"/>
      <c r="V34" s="615"/>
      <c r="W34" s="615"/>
      <c r="X34" s="615"/>
      <c r="Y34" s="615"/>
      <c r="Z34" s="615"/>
      <c r="AA34" s="835" t="s">
        <v>729</v>
      </c>
      <c r="AB34" s="836">
        <f t="shared" si="29"/>
        <v>0</v>
      </c>
      <c r="AC34" s="836">
        <f t="shared" si="29"/>
        <v>0</v>
      </c>
      <c r="AD34" s="836">
        <f t="shared" si="29"/>
        <v>0</v>
      </c>
      <c r="AZ34" s="704"/>
    </row>
    <row r="35" spans="1:52">
      <c r="A35" s="704"/>
      <c r="B35" s="704"/>
      <c r="C35" s="704"/>
      <c r="D35" s="704"/>
      <c r="E35" s="704"/>
      <c r="F35" s="704"/>
      <c r="G35" s="704"/>
      <c r="H35" s="704"/>
      <c r="I35" s="704"/>
      <c r="J35" s="704"/>
      <c r="K35" s="704"/>
      <c r="L35" s="704"/>
      <c r="M35" s="704"/>
      <c r="N35" s="704"/>
      <c r="O35" s="704"/>
      <c r="P35" s="704"/>
      <c r="Q35" s="704"/>
      <c r="R35" s="704"/>
      <c r="S35" s="704"/>
      <c r="T35" s="615"/>
      <c r="U35" s="615"/>
      <c r="V35" s="615"/>
      <c r="W35" s="615"/>
      <c r="X35" s="615"/>
      <c r="Y35" s="615"/>
      <c r="Z35" s="615"/>
      <c r="AA35" s="784"/>
      <c r="AZ35" s="704"/>
    </row>
    <row r="36" spans="1:52">
      <c r="A36" s="704"/>
      <c r="B36" s="704"/>
      <c r="C36" s="704"/>
      <c r="D36" s="704"/>
      <c r="E36" s="704"/>
      <c r="F36" s="704"/>
      <c r="G36" s="704"/>
      <c r="H36" s="704"/>
      <c r="I36" s="704"/>
      <c r="J36" s="704"/>
      <c r="K36" s="704"/>
      <c r="L36" s="704"/>
      <c r="M36" s="704"/>
      <c r="N36" s="704"/>
      <c r="O36" s="704"/>
      <c r="P36" s="704"/>
      <c r="Q36" s="704"/>
      <c r="R36" s="704"/>
      <c r="S36" s="704"/>
      <c r="T36" s="615"/>
      <c r="U36" s="615"/>
      <c r="V36" s="615"/>
      <c r="W36" s="615"/>
      <c r="X36" s="615"/>
      <c r="Y36" s="615"/>
      <c r="Z36" s="615"/>
      <c r="AZ36" s="704"/>
    </row>
    <row r="37" spans="1:52">
      <c r="A37" s="704"/>
      <c r="B37" s="704"/>
      <c r="C37" s="704"/>
      <c r="D37" s="704"/>
      <c r="E37" s="704"/>
      <c r="F37" s="704"/>
      <c r="G37" s="704"/>
      <c r="H37" s="704"/>
      <c r="I37" s="704"/>
      <c r="J37" s="704"/>
      <c r="K37" s="704"/>
      <c r="L37" s="704"/>
      <c r="M37" s="704"/>
      <c r="N37" s="704"/>
      <c r="O37" s="704"/>
      <c r="P37" s="704"/>
      <c r="Q37" s="704"/>
      <c r="R37" s="704"/>
      <c r="S37" s="704"/>
      <c r="T37" s="615"/>
      <c r="U37" s="615"/>
      <c r="V37" s="704"/>
      <c r="W37" s="704"/>
      <c r="X37" s="704"/>
      <c r="Y37" s="704"/>
      <c r="Z37" s="704"/>
      <c r="AA37" s="704"/>
      <c r="AB37" s="704"/>
      <c r="AC37" s="704"/>
      <c r="AD37" s="704"/>
      <c r="AE37" s="704"/>
      <c r="AF37" s="704"/>
      <c r="AG37" s="704"/>
      <c r="AH37" s="704"/>
      <c r="AI37" s="704"/>
      <c r="AJ37" s="704"/>
      <c r="AK37" s="704"/>
      <c r="AL37" s="704"/>
      <c r="AM37" s="704"/>
      <c r="AN37" s="704"/>
      <c r="AO37" s="704"/>
      <c r="AP37" s="704"/>
      <c r="AQ37" s="704"/>
      <c r="AR37" s="704"/>
      <c r="AS37" s="704"/>
      <c r="AT37" s="704"/>
      <c r="AU37" s="704"/>
      <c r="AV37" s="704"/>
      <c r="AW37" s="704"/>
      <c r="AX37" s="704"/>
      <c r="AY37" s="704"/>
      <c r="AZ37" s="704"/>
    </row>
    <row r="38" spans="1:52" ht="18" customHeight="1">
      <c r="A38" s="3109" t="s">
        <v>730</v>
      </c>
      <c r="B38" s="3109"/>
      <c r="C38" s="3110" t="s">
        <v>731</v>
      </c>
      <c r="D38" s="3111" t="s">
        <v>445</v>
      </c>
      <c r="E38" s="3112" t="s">
        <v>29</v>
      </c>
      <c r="F38" s="3112"/>
      <c r="G38" s="3112"/>
      <c r="H38" s="3112"/>
      <c r="I38" s="3112"/>
      <c r="J38" s="3115" t="s">
        <v>33</v>
      </c>
      <c r="K38" s="3115"/>
      <c r="L38" s="3115"/>
      <c r="M38" s="3115"/>
      <c r="N38" s="3115"/>
      <c r="O38" s="3112" t="s">
        <v>34</v>
      </c>
      <c r="P38" s="3112"/>
      <c r="Q38" s="3112"/>
      <c r="R38" s="3112"/>
      <c r="S38" s="3112"/>
      <c r="T38" s="615"/>
      <c r="U38" s="615"/>
      <c r="V38" s="704"/>
      <c r="W38" s="704"/>
      <c r="X38" s="704"/>
      <c r="Y38" s="704"/>
      <c r="Z38" s="704"/>
      <c r="AA38" s="704"/>
      <c r="AB38" s="704"/>
      <c r="AC38" s="704"/>
      <c r="AD38" s="704"/>
      <c r="AE38" s="704"/>
      <c r="AF38" s="704"/>
      <c r="AG38" s="704"/>
      <c r="AH38" s="704"/>
      <c r="AI38" s="704"/>
      <c r="AJ38" s="704"/>
      <c r="AK38" s="704"/>
      <c r="AL38" s="704"/>
      <c r="AM38" s="704"/>
      <c r="AN38" s="704"/>
      <c r="AO38" s="704"/>
      <c r="AP38" s="704"/>
      <c r="AQ38" s="704"/>
      <c r="AR38" s="704"/>
      <c r="AS38" s="704"/>
      <c r="AT38" s="704"/>
      <c r="AU38" s="704"/>
      <c r="AV38" s="704"/>
      <c r="AW38" s="704"/>
      <c r="AX38" s="704"/>
      <c r="AY38" s="704"/>
      <c r="AZ38" s="704"/>
    </row>
    <row r="39" spans="1:52" ht="18" customHeight="1">
      <c r="A39" s="3109"/>
      <c r="B39" s="3109"/>
      <c r="C39" s="3110"/>
      <c r="D39" s="3111"/>
      <c r="E39" s="838" t="s">
        <v>19</v>
      </c>
      <c r="F39" s="839" t="s">
        <v>20</v>
      </c>
      <c r="G39" s="839" t="s">
        <v>21</v>
      </c>
      <c r="H39" s="839" t="s">
        <v>22</v>
      </c>
      <c r="I39" s="840" t="s">
        <v>23</v>
      </c>
      <c r="J39" s="841" t="s">
        <v>19</v>
      </c>
      <c r="K39" s="839" t="s">
        <v>20</v>
      </c>
      <c r="L39" s="839" t="s">
        <v>21</v>
      </c>
      <c r="M39" s="839" t="s">
        <v>22</v>
      </c>
      <c r="N39" s="842" t="s">
        <v>23</v>
      </c>
      <c r="O39" s="838" t="s">
        <v>19</v>
      </c>
      <c r="P39" s="839" t="s">
        <v>20</v>
      </c>
      <c r="Q39" s="839" t="s">
        <v>21</v>
      </c>
      <c r="R39" s="839" t="s">
        <v>22</v>
      </c>
      <c r="S39" s="840" t="s">
        <v>23</v>
      </c>
      <c r="T39" s="615"/>
      <c r="U39" s="615"/>
      <c r="V39" s="704"/>
      <c r="W39" s="704"/>
      <c r="X39" s="704"/>
      <c r="Y39" s="704"/>
      <c r="Z39" s="704"/>
      <c r="AA39" s="704"/>
      <c r="AB39" s="704"/>
      <c r="AC39" s="704"/>
      <c r="AD39" s="704"/>
      <c r="AE39" s="704"/>
      <c r="AF39" s="704"/>
      <c r="AG39" s="704"/>
      <c r="AH39" s="704"/>
      <c r="AI39" s="704"/>
      <c r="AJ39" s="704"/>
      <c r="AK39" s="704"/>
      <c r="AL39" s="704"/>
      <c r="AM39" s="704"/>
      <c r="AN39" s="704"/>
      <c r="AO39" s="704"/>
      <c r="AP39" s="704"/>
      <c r="AQ39" s="704"/>
      <c r="AR39" s="704"/>
      <c r="AS39" s="704"/>
      <c r="AT39" s="704"/>
      <c r="AU39" s="704"/>
      <c r="AV39" s="704"/>
      <c r="AW39" s="704"/>
      <c r="AX39" s="704"/>
      <c r="AY39" s="704"/>
      <c r="AZ39" s="704"/>
    </row>
    <row r="40" spans="1:52" s="784" customFormat="1" ht="16.5" customHeight="1">
      <c r="A40" s="843">
        <f>Tiere!B5</f>
        <v>0</v>
      </c>
      <c r="B40" s="844"/>
      <c r="C40" s="845">
        <f>Tabelle1!AQ5</f>
        <v>0</v>
      </c>
      <c r="D40" s="846">
        <f>Tabelle1!AR5</f>
        <v>0</v>
      </c>
      <c r="E40" s="847">
        <f>Tabelle1!AS5</f>
        <v>0</v>
      </c>
      <c r="F40" s="845">
        <f>Tabelle1!AT5</f>
        <v>0</v>
      </c>
      <c r="G40" s="845">
        <f>Tabelle1!AU5</f>
        <v>0</v>
      </c>
      <c r="H40" s="845">
        <f>Tabelle1!AV5</f>
        <v>0</v>
      </c>
      <c r="I40" s="848">
        <f>Tabelle1!AW5</f>
        <v>0</v>
      </c>
      <c r="J40" s="849">
        <f>Tabelle1!BD5</f>
        <v>0</v>
      </c>
      <c r="K40" s="845">
        <f>Tabelle1!BE5</f>
        <v>0</v>
      </c>
      <c r="L40" s="845">
        <f>Tabelle1!BF5</f>
        <v>0</v>
      </c>
      <c r="M40" s="845">
        <f>Tabelle1!BG5</f>
        <v>0</v>
      </c>
      <c r="N40" s="846">
        <f>Tabelle1!BH5</f>
        <v>0</v>
      </c>
      <c r="O40" s="847">
        <f>Tabelle1!BJ5</f>
        <v>0</v>
      </c>
      <c r="P40" s="845">
        <f>Tabelle1!BK5</f>
        <v>0</v>
      </c>
      <c r="Q40" s="845">
        <f>Tabelle1!BL5</f>
        <v>0</v>
      </c>
      <c r="R40" s="845">
        <f>Tabelle1!BM5</f>
        <v>0</v>
      </c>
      <c r="S40" s="848">
        <f>Tabelle1!BN5</f>
        <v>0</v>
      </c>
      <c r="T40" s="615"/>
      <c r="U40" s="615"/>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4"/>
      <c r="AS40" s="704"/>
      <c r="AT40" s="704"/>
      <c r="AU40" s="704"/>
      <c r="AV40" s="704"/>
      <c r="AW40" s="704"/>
      <c r="AX40" s="704"/>
      <c r="AY40" s="704"/>
      <c r="AZ40" s="704"/>
    </row>
    <row r="41" spans="1:52" ht="16.5" customHeight="1">
      <c r="A41" s="843">
        <f>Tiere!B6</f>
        <v>0</v>
      </c>
      <c r="B41" s="844"/>
      <c r="C41" s="845">
        <f>Tabelle1!AQ6</f>
        <v>0</v>
      </c>
      <c r="D41" s="846">
        <f>Tabelle1!AR6</f>
        <v>0</v>
      </c>
      <c r="E41" s="847">
        <f>Tabelle1!AS6</f>
        <v>0</v>
      </c>
      <c r="F41" s="845">
        <f>Tabelle1!AT6</f>
        <v>0</v>
      </c>
      <c r="G41" s="845">
        <f>Tabelle1!AU6</f>
        <v>0</v>
      </c>
      <c r="H41" s="845">
        <f>Tabelle1!AV6</f>
        <v>0</v>
      </c>
      <c r="I41" s="848">
        <f>Tabelle1!AW6</f>
        <v>0</v>
      </c>
      <c r="J41" s="849">
        <f>Tabelle1!BD6</f>
        <v>0</v>
      </c>
      <c r="K41" s="845">
        <f>Tabelle1!BE6</f>
        <v>0</v>
      </c>
      <c r="L41" s="845">
        <f>Tabelle1!BF6</f>
        <v>0</v>
      </c>
      <c r="M41" s="845">
        <f>Tabelle1!BG6</f>
        <v>0</v>
      </c>
      <c r="N41" s="846">
        <f>Tabelle1!BH6</f>
        <v>0</v>
      </c>
      <c r="O41" s="847">
        <f>Tabelle1!BJ6</f>
        <v>0</v>
      </c>
      <c r="P41" s="845">
        <f>Tabelle1!BK6</f>
        <v>0</v>
      </c>
      <c r="Q41" s="845">
        <f>Tabelle1!BL6</f>
        <v>0</v>
      </c>
      <c r="R41" s="845">
        <f>Tabelle1!BM6</f>
        <v>0</v>
      </c>
      <c r="S41" s="848">
        <f>Tabelle1!BN6</f>
        <v>0</v>
      </c>
      <c r="T41" s="615"/>
      <c r="U41" s="615"/>
      <c r="V41" s="704"/>
      <c r="W41" s="704"/>
      <c r="X41" s="704"/>
      <c r="Y41" s="704"/>
      <c r="Z41" s="704"/>
      <c r="AA41" s="704"/>
      <c r="AB41" s="704"/>
      <c r="AC41" s="704"/>
      <c r="AD41" s="704"/>
      <c r="AE41" s="704"/>
      <c r="AF41" s="704"/>
      <c r="AG41" s="704"/>
      <c r="AH41" s="704"/>
      <c r="AI41" s="704"/>
      <c r="AJ41" s="704"/>
      <c r="AK41" s="704"/>
      <c r="AL41" s="704"/>
      <c r="AM41" s="704"/>
      <c r="AN41" s="704"/>
      <c r="AO41" s="704"/>
      <c r="AP41" s="704"/>
      <c r="AQ41" s="704"/>
      <c r="AR41" s="704"/>
      <c r="AS41" s="704"/>
      <c r="AT41" s="704"/>
      <c r="AU41" s="704"/>
      <c r="AV41" s="704"/>
      <c r="AW41" s="704"/>
      <c r="AX41" s="704"/>
      <c r="AY41" s="704"/>
      <c r="AZ41" s="704"/>
    </row>
    <row r="42" spans="1:52" ht="16.5" customHeight="1">
      <c r="A42" s="843">
        <f>Tiere!B7</f>
        <v>0</v>
      </c>
      <c r="B42" s="844"/>
      <c r="C42" s="845">
        <f>Tabelle1!AQ7</f>
        <v>0</v>
      </c>
      <c r="D42" s="846">
        <f>Tabelle1!AR7</f>
        <v>0</v>
      </c>
      <c r="E42" s="847">
        <f>Tabelle1!AS7</f>
        <v>0</v>
      </c>
      <c r="F42" s="845">
        <f>Tabelle1!AT7</f>
        <v>0</v>
      </c>
      <c r="G42" s="845">
        <f>Tabelle1!AU7</f>
        <v>0</v>
      </c>
      <c r="H42" s="845">
        <f>Tabelle1!AV7</f>
        <v>0</v>
      </c>
      <c r="I42" s="848">
        <f>Tabelle1!AW7</f>
        <v>0</v>
      </c>
      <c r="J42" s="849">
        <f>Tabelle1!BD7</f>
        <v>0</v>
      </c>
      <c r="K42" s="845">
        <f>Tabelle1!BE7</f>
        <v>0</v>
      </c>
      <c r="L42" s="845">
        <f>Tabelle1!BF7</f>
        <v>0</v>
      </c>
      <c r="M42" s="845">
        <f>Tabelle1!BG7</f>
        <v>0</v>
      </c>
      <c r="N42" s="846">
        <f>Tabelle1!BH7</f>
        <v>0</v>
      </c>
      <c r="O42" s="847">
        <f>Tabelle1!BJ7</f>
        <v>0</v>
      </c>
      <c r="P42" s="845">
        <f>Tabelle1!BK7</f>
        <v>0</v>
      </c>
      <c r="Q42" s="845">
        <f>Tabelle1!BL7</f>
        <v>0</v>
      </c>
      <c r="R42" s="845">
        <f>Tabelle1!BM7</f>
        <v>0</v>
      </c>
      <c r="S42" s="848">
        <f>Tabelle1!BN7</f>
        <v>0</v>
      </c>
      <c r="T42" s="615"/>
      <c r="U42" s="615"/>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4"/>
      <c r="AS42" s="704"/>
      <c r="AT42" s="704"/>
      <c r="AU42" s="704"/>
      <c r="AV42" s="704"/>
      <c r="AW42" s="704"/>
      <c r="AX42" s="704"/>
      <c r="AY42" s="704"/>
      <c r="AZ42" s="704"/>
    </row>
    <row r="43" spans="1:52" ht="16.5" customHeight="1">
      <c r="A43" s="843">
        <f>Tiere!B8</f>
        <v>0</v>
      </c>
      <c r="B43" s="844"/>
      <c r="C43" s="845">
        <f>Tabelle1!AQ8</f>
        <v>0</v>
      </c>
      <c r="D43" s="846">
        <f>Tabelle1!AR8</f>
        <v>0</v>
      </c>
      <c r="E43" s="847">
        <f>Tabelle1!AS8</f>
        <v>0</v>
      </c>
      <c r="F43" s="845">
        <f>Tabelle1!AT8</f>
        <v>0</v>
      </c>
      <c r="G43" s="845">
        <f>Tabelle1!AU8</f>
        <v>0</v>
      </c>
      <c r="H43" s="845">
        <f>Tabelle1!AV8</f>
        <v>0</v>
      </c>
      <c r="I43" s="848">
        <f>Tabelle1!AW8</f>
        <v>0</v>
      </c>
      <c r="J43" s="849">
        <f>Tabelle1!BD8</f>
        <v>0</v>
      </c>
      <c r="K43" s="845">
        <f>Tabelle1!BE8</f>
        <v>0</v>
      </c>
      <c r="L43" s="845">
        <f>Tabelle1!BF8</f>
        <v>0</v>
      </c>
      <c r="M43" s="845">
        <f>Tabelle1!BG8</f>
        <v>0</v>
      </c>
      <c r="N43" s="846">
        <f>Tabelle1!BH8</f>
        <v>0</v>
      </c>
      <c r="O43" s="847">
        <f>Tabelle1!BJ8</f>
        <v>0</v>
      </c>
      <c r="P43" s="845">
        <f>Tabelle1!BK8</f>
        <v>0</v>
      </c>
      <c r="Q43" s="845">
        <f>Tabelle1!BL8</f>
        <v>0</v>
      </c>
      <c r="R43" s="845">
        <f>Tabelle1!BM8</f>
        <v>0</v>
      </c>
      <c r="S43" s="848">
        <f>Tabelle1!BN8</f>
        <v>0</v>
      </c>
      <c r="T43" s="615"/>
      <c r="U43" s="615"/>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04"/>
      <c r="AT43" s="704"/>
      <c r="AU43" s="704"/>
      <c r="AV43" s="704"/>
      <c r="AW43" s="704"/>
      <c r="AX43" s="704"/>
      <c r="AY43" s="704"/>
      <c r="AZ43" s="704"/>
    </row>
    <row r="44" spans="1:52" ht="16.5" customHeight="1">
      <c r="A44" s="843">
        <f>Tiere!B9</f>
        <v>0</v>
      </c>
      <c r="B44" s="844"/>
      <c r="C44" s="845">
        <f>Tabelle1!AQ9</f>
        <v>0</v>
      </c>
      <c r="D44" s="846">
        <f>Tabelle1!AR9</f>
        <v>0</v>
      </c>
      <c r="E44" s="847">
        <f>Tabelle1!AS9</f>
        <v>0</v>
      </c>
      <c r="F44" s="845">
        <f>Tabelle1!AT9</f>
        <v>0</v>
      </c>
      <c r="G44" s="845">
        <f>Tabelle1!AU9</f>
        <v>0</v>
      </c>
      <c r="H44" s="845">
        <f>Tabelle1!AV9</f>
        <v>0</v>
      </c>
      <c r="I44" s="848">
        <f>Tabelle1!AW9</f>
        <v>0</v>
      </c>
      <c r="J44" s="849">
        <f>Tabelle1!BD9</f>
        <v>0</v>
      </c>
      <c r="K44" s="845">
        <f>Tabelle1!BE9</f>
        <v>0</v>
      </c>
      <c r="L44" s="845">
        <f>Tabelle1!BF9</f>
        <v>0</v>
      </c>
      <c r="M44" s="845">
        <f>Tabelle1!BG9</f>
        <v>0</v>
      </c>
      <c r="N44" s="846">
        <f>Tabelle1!BH9</f>
        <v>0</v>
      </c>
      <c r="O44" s="847">
        <f>Tabelle1!BJ9</f>
        <v>0</v>
      </c>
      <c r="P44" s="845">
        <f>Tabelle1!BK9</f>
        <v>0</v>
      </c>
      <c r="Q44" s="845">
        <f>Tabelle1!BL9</f>
        <v>0</v>
      </c>
      <c r="R44" s="845">
        <f>Tabelle1!BM9</f>
        <v>0</v>
      </c>
      <c r="S44" s="848">
        <f>Tabelle1!BN9</f>
        <v>0</v>
      </c>
      <c r="T44" s="615"/>
      <c r="U44" s="615"/>
      <c r="V44" s="704"/>
      <c r="W44" s="704"/>
      <c r="X44" s="704"/>
      <c r="Y44" s="704"/>
      <c r="Z44" s="704"/>
      <c r="AA44" s="704"/>
      <c r="AB44" s="704"/>
      <c r="AC44" s="704"/>
      <c r="AD44" s="704"/>
      <c r="AE44" s="704"/>
      <c r="AF44" s="704"/>
      <c r="AG44" s="704"/>
      <c r="AH44" s="704"/>
      <c r="AI44" s="704"/>
      <c r="AJ44" s="704"/>
      <c r="AK44" s="704"/>
      <c r="AL44" s="704"/>
      <c r="AM44" s="704"/>
      <c r="AN44" s="704"/>
      <c r="AO44" s="704"/>
      <c r="AP44" s="704"/>
      <c r="AQ44" s="704"/>
      <c r="AR44" s="704"/>
      <c r="AS44" s="704"/>
      <c r="AT44" s="704"/>
      <c r="AU44" s="704"/>
      <c r="AV44" s="704"/>
      <c r="AW44" s="704"/>
      <c r="AX44" s="704"/>
      <c r="AY44" s="704"/>
      <c r="AZ44" s="704"/>
    </row>
    <row r="45" spans="1:52" ht="16.5" customHeight="1">
      <c r="A45" s="843">
        <f>Tiere!B10</f>
        <v>0</v>
      </c>
      <c r="B45" s="844"/>
      <c r="C45" s="845">
        <f>Tabelle1!AQ10</f>
        <v>0</v>
      </c>
      <c r="D45" s="846">
        <f>Tabelle1!AR10</f>
        <v>0</v>
      </c>
      <c r="E45" s="847">
        <f>Tabelle1!AS10</f>
        <v>0</v>
      </c>
      <c r="F45" s="845">
        <f>Tabelle1!AT10</f>
        <v>0</v>
      </c>
      <c r="G45" s="845">
        <f>Tabelle1!AU10</f>
        <v>0</v>
      </c>
      <c r="H45" s="845">
        <f>Tabelle1!AV10</f>
        <v>0</v>
      </c>
      <c r="I45" s="848">
        <f>Tabelle1!AW10</f>
        <v>0</v>
      </c>
      <c r="J45" s="849">
        <f>Tabelle1!BD10</f>
        <v>0</v>
      </c>
      <c r="K45" s="845">
        <f>Tabelle1!BE10</f>
        <v>0</v>
      </c>
      <c r="L45" s="845">
        <f>Tabelle1!BF10</f>
        <v>0</v>
      </c>
      <c r="M45" s="845">
        <f>Tabelle1!BG10</f>
        <v>0</v>
      </c>
      <c r="N45" s="846">
        <f>Tabelle1!BH10</f>
        <v>0</v>
      </c>
      <c r="O45" s="847">
        <f>Tabelle1!BJ10</f>
        <v>0</v>
      </c>
      <c r="P45" s="845">
        <f>Tabelle1!BK10</f>
        <v>0</v>
      </c>
      <c r="Q45" s="845">
        <f>Tabelle1!BL10</f>
        <v>0</v>
      </c>
      <c r="R45" s="845">
        <f>Tabelle1!BM10</f>
        <v>0</v>
      </c>
      <c r="S45" s="848">
        <f>Tabelle1!BN10</f>
        <v>0</v>
      </c>
      <c r="T45" s="615"/>
      <c r="U45" s="615"/>
      <c r="V45" s="704"/>
      <c r="W45" s="704"/>
      <c r="X45" s="704"/>
      <c r="Y45" s="704"/>
      <c r="Z45" s="704"/>
      <c r="AA45" s="704"/>
      <c r="AB45" s="704"/>
      <c r="AC45" s="704"/>
      <c r="AD45" s="704"/>
      <c r="AE45" s="704"/>
      <c r="AF45" s="704"/>
      <c r="AG45" s="704"/>
      <c r="AH45" s="704"/>
      <c r="AI45" s="704"/>
      <c r="AJ45" s="704"/>
      <c r="AK45" s="704"/>
      <c r="AL45" s="704"/>
      <c r="AM45" s="704"/>
      <c r="AN45" s="704"/>
      <c r="AO45" s="704"/>
      <c r="AP45" s="704"/>
      <c r="AQ45" s="704"/>
      <c r="AR45" s="704"/>
      <c r="AS45" s="704"/>
      <c r="AT45" s="704"/>
      <c r="AU45" s="704"/>
      <c r="AV45" s="704"/>
      <c r="AW45" s="704"/>
      <c r="AX45" s="704"/>
      <c r="AY45" s="704"/>
      <c r="AZ45" s="704"/>
    </row>
    <row r="46" spans="1:52" ht="16.5" customHeight="1">
      <c r="A46" s="843">
        <f>Tiere!B11</f>
        <v>0</v>
      </c>
      <c r="B46" s="844"/>
      <c r="C46" s="845">
        <f>Tabelle1!AQ11</f>
        <v>0</v>
      </c>
      <c r="D46" s="846">
        <f>Tabelle1!AR11</f>
        <v>0</v>
      </c>
      <c r="E46" s="847">
        <f>Tabelle1!AS11</f>
        <v>0</v>
      </c>
      <c r="F46" s="845">
        <f>Tabelle1!AT11</f>
        <v>0</v>
      </c>
      <c r="G46" s="845">
        <f>Tabelle1!AU11</f>
        <v>0</v>
      </c>
      <c r="H46" s="845">
        <f>Tabelle1!AV11</f>
        <v>0</v>
      </c>
      <c r="I46" s="848">
        <f>Tabelle1!AW11</f>
        <v>0</v>
      </c>
      <c r="J46" s="849">
        <f>Tabelle1!BD11</f>
        <v>0</v>
      </c>
      <c r="K46" s="845">
        <f>Tabelle1!BE11</f>
        <v>0</v>
      </c>
      <c r="L46" s="845">
        <f>Tabelle1!BF11</f>
        <v>0</v>
      </c>
      <c r="M46" s="845">
        <f>Tabelle1!BG11</f>
        <v>0</v>
      </c>
      <c r="N46" s="846">
        <f>Tabelle1!BH11</f>
        <v>0</v>
      </c>
      <c r="O46" s="847">
        <f>Tabelle1!BJ11</f>
        <v>0</v>
      </c>
      <c r="P46" s="845">
        <f>Tabelle1!BK11</f>
        <v>0</v>
      </c>
      <c r="Q46" s="845">
        <f>Tabelle1!BL11</f>
        <v>0</v>
      </c>
      <c r="R46" s="845">
        <f>Tabelle1!BM11</f>
        <v>0</v>
      </c>
      <c r="S46" s="848">
        <f>Tabelle1!BN11</f>
        <v>0</v>
      </c>
      <c r="T46" s="615"/>
      <c r="U46" s="615"/>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704"/>
      <c r="AX46" s="704"/>
      <c r="AY46" s="704"/>
      <c r="AZ46" s="704"/>
    </row>
    <row r="47" spans="1:52" ht="16.5" customHeight="1">
      <c r="A47" s="843">
        <f>Tiere!B12</f>
        <v>0</v>
      </c>
      <c r="B47" s="844"/>
      <c r="C47" s="845">
        <f>Tabelle1!AQ12</f>
        <v>0</v>
      </c>
      <c r="D47" s="846">
        <f>Tabelle1!AR12</f>
        <v>0</v>
      </c>
      <c r="E47" s="847">
        <f>Tabelle1!AS12</f>
        <v>0</v>
      </c>
      <c r="F47" s="845">
        <f>Tabelle1!AT12</f>
        <v>0</v>
      </c>
      <c r="G47" s="845">
        <f>Tabelle1!AU12</f>
        <v>0</v>
      </c>
      <c r="H47" s="845">
        <f>Tabelle1!AV12</f>
        <v>0</v>
      </c>
      <c r="I47" s="848">
        <f>Tabelle1!AW12</f>
        <v>0</v>
      </c>
      <c r="J47" s="849">
        <f>Tabelle1!BD12</f>
        <v>0</v>
      </c>
      <c r="K47" s="845">
        <f>Tabelle1!BE12</f>
        <v>0</v>
      </c>
      <c r="L47" s="845">
        <f>Tabelle1!BF12</f>
        <v>0</v>
      </c>
      <c r="M47" s="845">
        <f>Tabelle1!BG12</f>
        <v>0</v>
      </c>
      <c r="N47" s="846">
        <f>Tabelle1!BH12</f>
        <v>0</v>
      </c>
      <c r="O47" s="847">
        <f>Tabelle1!BJ12</f>
        <v>0</v>
      </c>
      <c r="P47" s="845">
        <f>Tabelle1!BK12</f>
        <v>0</v>
      </c>
      <c r="Q47" s="845">
        <f>Tabelle1!BL12</f>
        <v>0</v>
      </c>
      <c r="R47" s="845">
        <f>Tabelle1!BM12</f>
        <v>0</v>
      </c>
      <c r="S47" s="848">
        <f>Tabelle1!BN12</f>
        <v>0</v>
      </c>
      <c r="T47" s="615"/>
      <c r="U47" s="615"/>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row>
    <row r="48" spans="1:52" ht="16.5" customHeight="1">
      <c r="A48" s="843">
        <f>Tiere!B13</f>
        <v>0</v>
      </c>
      <c r="B48" s="844"/>
      <c r="C48" s="845">
        <f>Tabelle1!AQ13</f>
        <v>0</v>
      </c>
      <c r="D48" s="846">
        <f>Tabelle1!AR13</f>
        <v>0</v>
      </c>
      <c r="E48" s="847">
        <f>Tabelle1!AS13</f>
        <v>0</v>
      </c>
      <c r="F48" s="845">
        <f>Tabelle1!AT13</f>
        <v>0</v>
      </c>
      <c r="G48" s="845">
        <f>Tabelle1!AU13</f>
        <v>0</v>
      </c>
      <c r="H48" s="845">
        <f>Tabelle1!AV13</f>
        <v>0</v>
      </c>
      <c r="I48" s="848">
        <f>Tabelle1!AW13</f>
        <v>0</v>
      </c>
      <c r="J48" s="849">
        <f>Tabelle1!BD13</f>
        <v>0</v>
      </c>
      <c r="K48" s="845">
        <f>Tabelle1!BE13</f>
        <v>0</v>
      </c>
      <c r="L48" s="845">
        <f>Tabelle1!BF13</f>
        <v>0</v>
      </c>
      <c r="M48" s="845">
        <f>Tabelle1!BG13</f>
        <v>0</v>
      </c>
      <c r="N48" s="846">
        <f>Tabelle1!BH13</f>
        <v>0</v>
      </c>
      <c r="O48" s="847">
        <f>Tabelle1!BJ13</f>
        <v>0</v>
      </c>
      <c r="P48" s="845">
        <f>Tabelle1!BK13</f>
        <v>0</v>
      </c>
      <c r="Q48" s="845">
        <f>Tabelle1!BL13</f>
        <v>0</v>
      </c>
      <c r="R48" s="845">
        <f>Tabelle1!BM13</f>
        <v>0</v>
      </c>
      <c r="S48" s="848">
        <f>Tabelle1!BN13</f>
        <v>0</v>
      </c>
      <c r="T48" s="615"/>
      <c r="U48" s="615"/>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row>
    <row r="49" spans="1:52" ht="16.5" customHeight="1">
      <c r="A49" s="843">
        <f>Tiere!B14</f>
        <v>0</v>
      </c>
      <c r="B49" s="844"/>
      <c r="C49" s="845">
        <f>Tabelle1!AQ14</f>
        <v>0</v>
      </c>
      <c r="D49" s="846">
        <f>Tabelle1!AR14</f>
        <v>0</v>
      </c>
      <c r="E49" s="847">
        <f>Tabelle1!AS14</f>
        <v>0</v>
      </c>
      <c r="F49" s="845">
        <f>Tabelle1!AT14</f>
        <v>0</v>
      </c>
      <c r="G49" s="845">
        <f>Tabelle1!AU14</f>
        <v>0</v>
      </c>
      <c r="H49" s="845">
        <f>Tabelle1!AV14</f>
        <v>0</v>
      </c>
      <c r="I49" s="848">
        <f>Tabelle1!AW14</f>
        <v>0</v>
      </c>
      <c r="J49" s="849">
        <f>Tabelle1!BD14</f>
        <v>0</v>
      </c>
      <c r="K49" s="845">
        <f>Tabelle1!BE14</f>
        <v>0</v>
      </c>
      <c r="L49" s="845">
        <f>Tabelle1!BF14</f>
        <v>0</v>
      </c>
      <c r="M49" s="845">
        <f>Tabelle1!BG14</f>
        <v>0</v>
      </c>
      <c r="N49" s="846">
        <f>Tabelle1!BH14</f>
        <v>0</v>
      </c>
      <c r="O49" s="847">
        <f>Tabelle1!BJ14</f>
        <v>0</v>
      </c>
      <c r="P49" s="845">
        <f>Tabelle1!BK14</f>
        <v>0</v>
      </c>
      <c r="Q49" s="845">
        <f>Tabelle1!BL14</f>
        <v>0</v>
      </c>
      <c r="R49" s="845">
        <f>Tabelle1!BM14</f>
        <v>0</v>
      </c>
      <c r="S49" s="848">
        <f>Tabelle1!BN14</f>
        <v>0</v>
      </c>
      <c r="T49" s="615"/>
      <c r="U49" s="615"/>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4"/>
      <c r="AR49" s="704"/>
      <c r="AS49" s="704"/>
      <c r="AT49" s="704"/>
      <c r="AU49" s="704"/>
      <c r="AV49" s="704"/>
      <c r="AW49" s="704"/>
      <c r="AX49" s="704"/>
      <c r="AY49" s="704"/>
      <c r="AZ49" s="704"/>
    </row>
    <row r="50" spans="1:52" ht="16.5" customHeight="1">
      <c r="A50" s="843">
        <f>Tiere!B15</f>
        <v>0</v>
      </c>
      <c r="B50" s="844"/>
      <c r="C50" s="845">
        <f>Tabelle1!AQ15</f>
        <v>0</v>
      </c>
      <c r="D50" s="846">
        <f>Tabelle1!AR15</f>
        <v>0</v>
      </c>
      <c r="E50" s="847">
        <f>Tabelle1!AS15</f>
        <v>0</v>
      </c>
      <c r="F50" s="845">
        <f>Tabelle1!AT15</f>
        <v>0</v>
      </c>
      <c r="G50" s="845">
        <f>Tabelle1!AU15</f>
        <v>0</v>
      </c>
      <c r="H50" s="845">
        <f>Tabelle1!AV15</f>
        <v>0</v>
      </c>
      <c r="I50" s="848">
        <f>Tabelle1!AW15</f>
        <v>0</v>
      </c>
      <c r="J50" s="849">
        <f>Tabelle1!BD15</f>
        <v>0</v>
      </c>
      <c r="K50" s="845">
        <f>Tabelle1!BE15</f>
        <v>0</v>
      </c>
      <c r="L50" s="845">
        <f>Tabelle1!BF15</f>
        <v>0</v>
      </c>
      <c r="M50" s="845">
        <f>Tabelle1!BG15</f>
        <v>0</v>
      </c>
      <c r="N50" s="846">
        <f>Tabelle1!BH15</f>
        <v>0</v>
      </c>
      <c r="O50" s="847">
        <f>Tabelle1!BJ15</f>
        <v>0</v>
      </c>
      <c r="P50" s="845">
        <f>Tabelle1!BK15</f>
        <v>0</v>
      </c>
      <c r="Q50" s="845">
        <f>Tabelle1!BL15</f>
        <v>0</v>
      </c>
      <c r="R50" s="845">
        <f>Tabelle1!BM15</f>
        <v>0</v>
      </c>
      <c r="S50" s="848">
        <f>Tabelle1!BN15</f>
        <v>0</v>
      </c>
      <c r="T50" s="615"/>
      <c r="U50" s="615"/>
      <c r="V50" s="704"/>
      <c r="W50" s="704"/>
      <c r="X50" s="704"/>
      <c r="Y50" s="704"/>
      <c r="Z50" s="704"/>
      <c r="AA50" s="704"/>
      <c r="AB50" s="704"/>
      <c r="AC50" s="704"/>
      <c r="AD50" s="704"/>
      <c r="AE50" s="704"/>
      <c r="AF50" s="704"/>
      <c r="AG50" s="704"/>
      <c r="AH50" s="704"/>
      <c r="AI50" s="704"/>
      <c r="AJ50" s="704"/>
      <c r="AK50" s="704"/>
      <c r="AL50" s="704"/>
      <c r="AM50" s="704"/>
      <c r="AN50" s="704"/>
      <c r="AO50" s="704"/>
      <c r="AP50" s="704"/>
      <c r="AQ50" s="704"/>
      <c r="AR50" s="704"/>
      <c r="AS50" s="704"/>
      <c r="AT50" s="704"/>
      <c r="AU50" s="704"/>
      <c r="AV50" s="704"/>
      <c r="AW50" s="704"/>
      <c r="AX50" s="704"/>
      <c r="AY50" s="704"/>
      <c r="AZ50" s="704"/>
    </row>
    <row r="51" spans="1:52" ht="16.5" customHeight="1">
      <c r="A51" s="3113">
        <f>Tiere!B16</f>
        <v>0</v>
      </c>
      <c r="B51" s="3113"/>
      <c r="C51" s="845">
        <f>Tabelle1!AQ16</f>
        <v>0</v>
      </c>
      <c r="D51" s="846">
        <f>Tabelle1!AR16</f>
        <v>0</v>
      </c>
      <c r="E51" s="847">
        <f>Tabelle1!AS16</f>
        <v>0</v>
      </c>
      <c r="F51" s="845">
        <f>Tabelle1!AT16</f>
        <v>0</v>
      </c>
      <c r="G51" s="845">
        <f>Tabelle1!AU16</f>
        <v>0</v>
      </c>
      <c r="H51" s="845">
        <f>Tabelle1!AV16</f>
        <v>0</v>
      </c>
      <c r="I51" s="848">
        <f>Tabelle1!AW16</f>
        <v>0</v>
      </c>
      <c r="J51" s="849">
        <f>Tabelle1!BD16</f>
        <v>0</v>
      </c>
      <c r="K51" s="845">
        <f>Tabelle1!BE16</f>
        <v>0</v>
      </c>
      <c r="L51" s="845">
        <f>Tabelle1!BF16</f>
        <v>0</v>
      </c>
      <c r="M51" s="845">
        <f>Tabelle1!BG16</f>
        <v>0</v>
      </c>
      <c r="N51" s="846">
        <f>Tabelle1!BH16</f>
        <v>0</v>
      </c>
      <c r="O51" s="847">
        <f>Tabelle1!BJ16</f>
        <v>0</v>
      </c>
      <c r="P51" s="845">
        <f>Tabelle1!BK16</f>
        <v>0</v>
      </c>
      <c r="Q51" s="845">
        <f>Tabelle1!BL16</f>
        <v>0</v>
      </c>
      <c r="R51" s="845">
        <f>Tabelle1!BM16</f>
        <v>0</v>
      </c>
      <c r="S51" s="848">
        <f>Tabelle1!BN16</f>
        <v>0</v>
      </c>
      <c r="T51" s="615"/>
      <c r="U51" s="615"/>
      <c r="V51" s="704"/>
      <c r="W51" s="704"/>
      <c r="X51" s="704"/>
      <c r="Y51" s="704"/>
      <c r="Z51" s="704"/>
      <c r="AA51" s="704"/>
      <c r="AB51" s="704"/>
      <c r="AC51" s="704"/>
      <c r="AD51" s="704"/>
      <c r="AE51" s="704"/>
      <c r="AF51" s="704"/>
      <c r="AG51" s="704"/>
      <c r="AH51" s="704"/>
      <c r="AI51" s="704"/>
      <c r="AJ51" s="704"/>
      <c r="AK51" s="704"/>
      <c r="AL51" s="704"/>
      <c r="AM51" s="704"/>
      <c r="AN51" s="704"/>
      <c r="AO51" s="704"/>
      <c r="AP51" s="704"/>
      <c r="AQ51" s="704"/>
      <c r="AR51" s="704"/>
      <c r="AS51" s="704"/>
      <c r="AT51" s="704"/>
      <c r="AU51" s="704"/>
      <c r="AV51" s="704"/>
      <c r="AW51" s="704"/>
      <c r="AX51" s="704"/>
      <c r="AY51" s="704"/>
      <c r="AZ51" s="704"/>
    </row>
    <row r="52" spans="1:52" ht="16.5" customHeight="1">
      <c r="A52" s="3113">
        <f>Tiere!B17</f>
        <v>0</v>
      </c>
      <c r="B52" s="3113"/>
      <c r="C52" s="845">
        <f>Tabelle1!AQ17</f>
        <v>0</v>
      </c>
      <c r="D52" s="846">
        <f>Tabelle1!AR17</f>
        <v>0</v>
      </c>
      <c r="E52" s="847">
        <f>Tabelle1!AS17</f>
        <v>0</v>
      </c>
      <c r="F52" s="845">
        <f>Tabelle1!AT17</f>
        <v>0</v>
      </c>
      <c r="G52" s="845">
        <f>Tabelle1!AU17</f>
        <v>0</v>
      </c>
      <c r="H52" s="845">
        <f>Tabelle1!AV17</f>
        <v>0</v>
      </c>
      <c r="I52" s="848">
        <f>Tabelle1!AW17</f>
        <v>0</v>
      </c>
      <c r="J52" s="849">
        <f>Tabelle1!BD17</f>
        <v>0</v>
      </c>
      <c r="K52" s="845">
        <f>Tabelle1!BE17</f>
        <v>0</v>
      </c>
      <c r="L52" s="845">
        <f>Tabelle1!BF17</f>
        <v>0</v>
      </c>
      <c r="M52" s="845">
        <f>Tabelle1!BG17</f>
        <v>0</v>
      </c>
      <c r="N52" s="846">
        <f>Tabelle1!BH17</f>
        <v>0</v>
      </c>
      <c r="O52" s="847">
        <f>Tabelle1!BJ17</f>
        <v>0</v>
      </c>
      <c r="P52" s="845">
        <f>Tabelle1!BK17</f>
        <v>0</v>
      </c>
      <c r="Q52" s="845">
        <f>Tabelle1!BL17</f>
        <v>0</v>
      </c>
      <c r="R52" s="845">
        <f>Tabelle1!BM17</f>
        <v>0</v>
      </c>
      <c r="S52" s="848">
        <f>Tabelle1!BN17</f>
        <v>0</v>
      </c>
      <c r="T52" s="615"/>
      <c r="U52" s="615"/>
      <c r="V52" s="704"/>
      <c r="W52" s="704"/>
      <c r="X52" s="704"/>
      <c r="Y52" s="704"/>
      <c r="Z52" s="704"/>
      <c r="AA52" s="704"/>
      <c r="AB52" s="704"/>
      <c r="AC52" s="704"/>
      <c r="AD52" s="704"/>
      <c r="AE52" s="704"/>
      <c r="AF52" s="704"/>
      <c r="AG52" s="704"/>
      <c r="AH52" s="704"/>
      <c r="AI52" s="704"/>
      <c r="AJ52" s="704"/>
      <c r="AK52" s="704"/>
      <c r="AL52" s="704"/>
      <c r="AM52" s="704"/>
      <c r="AN52" s="704"/>
      <c r="AO52" s="704"/>
      <c r="AP52" s="704"/>
      <c r="AQ52" s="704"/>
      <c r="AR52" s="704"/>
      <c r="AS52" s="704"/>
      <c r="AT52" s="704"/>
      <c r="AU52" s="704"/>
      <c r="AV52" s="704"/>
      <c r="AW52" s="704"/>
      <c r="AX52" s="704"/>
      <c r="AY52" s="704"/>
      <c r="AZ52" s="704"/>
    </row>
    <row r="53" spans="1:52" ht="16.5" customHeight="1">
      <c r="A53" s="3113">
        <f>Tiere!B18</f>
        <v>0</v>
      </c>
      <c r="B53" s="3113"/>
      <c r="C53" s="845">
        <f>Tabelle1!AQ18</f>
        <v>0</v>
      </c>
      <c r="D53" s="846">
        <f>Tabelle1!AR18</f>
        <v>0</v>
      </c>
      <c r="E53" s="847">
        <f>Tabelle1!AS18</f>
        <v>0</v>
      </c>
      <c r="F53" s="845">
        <f>Tabelle1!AT18</f>
        <v>0</v>
      </c>
      <c r="G53" s="845">
        <f>Tabelle1!AU18</f>
        <v>0</v>
      </c>
      <c r="H53" s="845">
        <f>Tabelle1!AV18</f>
        <v>0</v>
      </c>
      <c r="I53" s="848">
        <f>Tabelle1!AW18</f>
        <v>0</v>
      </c>
      <c r="J53" s="849">
        <f>Tabelle1!BD18</f>
        <v>0</v>
      </c>
      <c r="K53" s="845">
        <f>Tabelle1!BE18</f>
        <v>0</v>
      </c>
      <c r="L53" s="845">
        <f>Tabelle1!BF18</f>
        <v>0</v>
      </c>
      <c r="M53" s="845">
        <f>Tabelle1!BG18</f>
        <v>0</v>
      </c>
      <c r="N53" s="846">
        <f>Tabelle1!BH18</f>
        <v>0</v>
      </c>
      <c r="O53" s="847">
        <f>Tabelle1!BJ18</f>
        <v>0</v>
      </c>
      <c r="P53" s="845">
        <f>Tabelle1!BK18</f>
        <v>0</v>
      </c>
      <c r="Q53" s="845">
        <f>Tabelle1!BL18</f>
        <v>0</v>
      </c>
      <c r="R53" s="845">
        <f>Tabelle1!BM18</f>
        <v>0</v>
      </c>
      <c r="S53" s="848">
        <f>Tabelle1!BN18</f>
        <v>0</v>
      </c>
      <c r="T53" s="615"/>
      <c r="U53" s="615"/>
      <c r="V53" s="704"/>
      <c r="W53" s="704"/>
      <c r="X53" s="704"/>
      <c r="Y53" s="704"/>
      <c r="Z53" s="704"/>
      <c r="AA53" s="704"/>
      <c r="AB53" s="704"/>
      <c r="AC53" s="704"/>
      <c r="AD53" s="704"/>
      <c r="AE53" s="704"/>
      <c r="AF53" s="704"/>
      <c r="AG53" s="704"/>
      <c r="AH53" s="704"/>
      <c r="AI53" s="704"/>
      <c r="AJ53" s="704"/>
      <c r="AK53" s="704"/>
      <c r="AL53" s="704"/>
      <c r="AM53" s="704"/>
      <c r="AN53" s="704"/>
      <c r="AO53" s="704"/>
      <c r="AP53" s="704"/>
      <c r="AQ53" s="704"/>
      <c r="AR53" s="704"/>
      <c r="AS53" s="704"/>
      <c r="AT53" s="704"/>
      <c r="AU53" s="704"/>
      <c r="AV53" s="704"/>
      <c r="AW53" s="704"/>
      <c r="AX53" s="704"/>
      <c r="AY53" s="704"/>
      <c r="AZ53" s="704"/>
    </row>
    <row r="54" spans="1:52" ht="16.5" customHeight="1">
      <c r="A54" s="3113">
        <f>Tiere!B19</f>
        <v>0</v>
      </c>
      <c r="B54" s="3113"/>
      <c r="C54" s="845">
        <f>Tabelle1!AQ19</f>
        <v>0</v>
      </c>
      <c r="D54" s="846">
        <f>Tabelle1!AR19</f>
        <v>0</v>
      </c>
      <c r="E54" s="847">
        <f>Tabelle1!AS19</f>
        <v>0</v>
      </c>
      <c r="F54" s="845">
        <f>Tabelle1!AT19</f>
        <v>0</v>
      </c>
      <c r="G54" s="845">
        <f>Tabelle1!AU19</f>
        <v>0</v>
      </c>
      <c r="H54" s="845">
        <f>Tabelle1!AV19</f>
        <v>0</v>
      </c>
      <c r="I54" s="848">
        <f>Tabelle1!AW19</f>
        <v>0</v>
      </c>
      <c r="J54" s="849">
        <f>Tabelle1!BD19</f>
        <v>0</v>
      </c>
      <c r="K54" s="845">
        <f>Tabelle1!BE19</f>
        <v>0</v>
      </c>
      <c r="L54" s="845">
        <f>Tabelle1!BF19</f>
        <v>0</v>
      </c>
      <c r="M54" s="845">
        <f>Tabelle1!BG19</f>
        <v>0</v>
      </c>
      <c r="N54" s="846">
        <f>Tabelle1!BH19</f>
        <v>0</v>
      </c>
      <c r="O54" s="847">
        <f>Tabelle1!BJ19</f>
        <v>0</v>
      </c>
      <c r="P54" s="845">
        <f>Tabelle1!BK19</f>
        <v>0</v>
      </c>
      <c r="Q54" s="845">
        <f>Tabelle1!BL19</f>
        <v>0</v>
      </c>
      <c r="R54" s="845">
        <f>Tabelle1!BM19</f>
        <v>0</v>
      </c>
      <c r="S54" s="848">
        <f>Tabelle1!BN19</f>
        <v>0</v>
      </c>
      <c r="T54" s="615"/>
      <c r="U54" s="615"/>
      <c r="V54" s="704"/>
      <c r="W54" s="704"/>
      <c r="X54" s="704"/>
      <c r="Y54" s="704"/>
      <c r="Z54" s="704"/>
      <c r="AA54" s="704"/>
      <c r="AB54" s="704"/>
      <c r="AC54" s="704"/>
      <c r="AD54" s="704"/>
      <c r="AE54" s="704"/>
      <c r="AF54" s="704"/>
      <c r="AG54" s="704"/>
      <c r="AH54" s="704"/>
      <c r="AI54" s="704"/>
      <c r="AJ54" s="704"/>
      <c r="AK54" s="704"/>
      <c r="AL54" s="704"/>
      <c r="AM54" s="704"/>
      <c r="AN54" s="704"/>
      <c r="AO54" s="704"/>
      <c r="AP54" s="704"/>
      <c r="AQ54" s="704"/>
      <c r="AR54" s="704"/>
      <c r="AS54" s="704"/>
      <c r="AT54" s="704"/>
      <c r="AU54" s="704"/>
      <c r="AV54" s="704"/>
      <c r="AW54" s="704"/>
      <c r="AX54" s="704"/>
      <c r="AY54" s="704"/>
      <c r="AZ54" s="704"/>
    </row>
    <row r="55" spans="1:52" ht="19.5" customHeight="1">
      <c r="A55" s="850"/>
      <c r="B55" s="851" t="s">
        <v>732</v>
      </c>
      <c r="C55" s="852"/>
      <c r="D55" s="853"/>
      <c r="E55" s="854">
        <f t="shared" ref="E55:S55" si="30">SUM(E40:E54)</f>
        <v>0</v>
      </c>
      <c r="F55" s="855">
        <f t="shared" si="30"/>
        <v>0</v>
      </c>
      <c r="G55" s="855">
        <f t="shared" si="30"/>
        <v>0</v>
      </c>
      <c r="H55" s="855">
        <f t="shared" si="30"/>
        <v>0</v>
      </c>
      <c r="I55" s="856">
        <f t="shared" si="30"/>
        <v>0</v>
      </c>
      <c r="J55" s="857">
        <f t="shared" si="30"/>
        <v>0</v>
      </c>
      <c r="K55" s="855">
        <f t="shared" si="30"/>
        <v>0</v>
      </c>
      <c r="L55" s="855">
        <f t="shared" si="30"/>
        <v>0</v>
      </c>
      <c r="M55" s="855">
        <f t="shared" si="30"/>
        <v>0</v>
      </c>
      <c r="N55" s="858">
        <f t="shared" si="30"/>
        <v>0</v>
      </c>
      <c r="O55" s="854">
        <f t="shared" si="30"/>
        <v>0</v>
      </c>
      <c r="P55" s="855">
        <f t="shared" si="30"/>
        <v>0</v>
      </c>
      <c r="Q55" s="855">
        <f t="shared" si="30"/>
        <v>0</v>
      </c>
      <c r="R55" s="855">
        <f t="shared" si="30"/>
        <v>0</v>
      </c>
      <c r="S55" s="856">
        <f t="shared" si="30"/>
        <v>0</v>
      </c>
      <c r="T55" s="615"/>
      <c r="U55" s="615"/>
      <c r="V55" s="704"/>
      <c r="W55" s="704"/>
      <c r="X55" s="704"/>
      <c r="Y55" s="704"/>
      <c r="Z55" s="704"/>
      <c r="AA55" s="704"/>
      <c r="AB55" s="704"/>
      <c r="AC55" s="704"/>
      <c r="AD55" s="704"/>
      <c r="AE55" s="704"/>
      <c r="AF55" s="704"/>
      <c r="AG55" s="704"/>
      <c r="AH55" s="704"/>
      <c r="AI55" s="704"/>
      <c r="AJ55" s="704"/>
      <c r="AK55" s="704"/>
      <c r="AL55" s="704"/>
      <c r="AM55" s="704"/>
      <c r="AN55" s="704"/>
      <c r="AO55" s="704"/>
      <c r="AP55" s="704"/>
      <c r="AQ55" s="704"/>
      <c r="AR55" s="704"/>
      <c r="AS55" s="704"/>
      <c r="AT55" s="704"/>
      <c r="AU55" s="704"/>
      <c r="AV55" s="704"/>
      <c r="AW55" s="704"/>
      <c r="AX55" s="704"/>
      <c r="AY55" s="704"/>
      <c r="AZ55" s="704"/>
    </row>
    <row r="56" spans="1:52" ht="18" customHeight="1">
      <c r="A56" s="859"/>
      <c r="B56" s="859"/>
      <c r="C56" s="860"/>
      <c r="D56" s="861" t="s">
        <v>733</v>
      </c>
      <c r="E56" s="862">
        <f>Tabelle1!AS28</f>
        <v>0</v>
      </c>
      <c r="F56" s="863">
        <f>Tabelle1!AT28</f>
        <v>0</v>
      </c>
      <c r="G56" s="863">
        <f>Tabelle1!AU28</f>
        <v>0</v>
      </c>
      <c r="H56" s="863">
        <f>Tabelle1!AV28</f>
        <v>0</v>
      </c>
      <c r="I56" s="864">
        <f>Tabelle1!AW28</f>
        <v>0</v>
      </c>
      <c r="J56" s="865">
        <f>Tabelle1!BD28</f>
        <v>0</v>
      </c>
      <c r="K56" s="863">
        <f>Tabelle1!BE28</f>
        <v>0</v>
      </c>
      <c r="L56" s="863">
        <f>Tabelle1!BF28</f>
        <v>0</v>
      </c>
      <c r="M56" s="863">
        <f>Tabelle1!BG28</f>
        <v>0</v>
      </c>
      <c r="N56" s="866">
        <f>Tabelle1!BH28</f>
        <v>0</v>
      </c>
      <c r="O56" s="862">
        <f>Tabelle1!BJ28</f>
        <v>0</v>
      </c>
      <c r="P56" s="863">
        <f>Tabelle1!BK28</f>
        <v>0</v>
      </c>
      <c r="Q56" s="863">
        <f>Tabelle1!BL28</f>
        <v>0</v>
      </c>
      <c r="R56" s="863">
        <f>Tabelle1!BM28</f>
        <v>0</v>
      </c>
      <c r="S56" s="864">
        <f>Tabelle1!BN28</f>
        <v>0</v>
      </c>
      <c r="T56" s="615"/>
      <c r="U56" s="615"/>
      <c r="V56" s="704"/>
      <c r="W56" s="704"/>
      <c r="X56" s="704"/>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4"/>
      <c r="AV56" s="704"/>
      <c r="AW56" s="704"/>
      <c r="AX56" s="704"/>
      <c r="AY56" s="704"/>
      <c r="AZ56" s="704"/>
    </row>
    <row r="57" spans="1:52" ht="15.6" customHeight="1">
      <c r="A57" s="615"/>
      <c r="B57" s="615"/>
      <c r="C57" s="615"/>
      <c r="D57" s="867" t="s">
        <v>734</v>
      </c>
      <c r="E57" s="868">
        <f>Tabelle1!AS35</f>
        <v>0</v>
      </c>
      <c r="F57" s="869">
        <f>Tabelle1!AT35</f>
        <v>0</v>
      </c>
      <c r="G57" s="869">
        <f>Tabelle1!AU35</f>
        <v>0</v>
      </c>
      <c r="H57" s="869">
        <f>Tabelle1!AV35</f>
        <v>0</v>
      </c>
      <c r="I57" s="870">
        <f>Tabelle1!AW35</f>
        <v>0</v>
      </c>
      <c r="J57" s="871">
        <f>Tabelle1!BD29</f>
        <v>0</v>
      </c>
      <c r="K57" s="869">
        <f>Tabelle1!BE29</f>
        <v>0</v>
      </c>
      <c r="L57" s="869">
        <f>Tabelle1!BF29</f>
        <v>0</v>
      </c>
      <c r="M57" s="869">
        <f>Tabelle1!BG29</f>
        <v>0</v>
      </c>
      <c r="N57" s="872">
        <f>Tabelle1!BH29</f>
        <v>0</v>
      </c>
      <c r="O57" s="868">
        <f>Tabelle1!BJ29</f>
        <v>0</v>
      </c>
      <c r="P57" s="869">
        <f>Tabelle1!BK29</f>
        <v>0</v>
      </c>
      <c r="Q57" s="869">
        <f>Tabelle1!BL29</f>
        <v>0</v>
      </c>
      <c r="R57" s="869">
        <f>Tabelle1!BM29</f>
        <v>0</v>
      </c>
      <c r="S57" s="870">
        <f>Tabelle1!BN29</f>
        <v>0</v>
      </c>
      <c r="T57" s="615"/>
      <c r="U57" s="615"/>
      <c r="V57" s="704"/>
      <c r="W57" s="704"/>
      <c r="X57" s="704"/>
      <c r="Y57" s="704"/>
      <c r="Z57" s="704"/>
      <c r="AA57" s="704"/>
      <c r="AB57" s="704"/>
      <c r="AC57" s="704"/>
      <c r="AD57" s="704"/>
      <c r="AE57" s="704"/>
      <c r="AF57" s="704"/>
      <c r="AG57" s="704"/>
      <c r="AH57" s="704"/>
      <c r="AI57" s="704"/>
      <c r="AJ57" s="704"/>
      <c r="AK57" s="704"/>
      <c r="AL57" s="704"/>
      <c r="AM57" s="704"/>
      <c r="AN57" s="704"/>
      <c r="AO57" s="704"/>
      <c r="AP57" s="704"/>
      <c r="AQ57" s="704"/>
      <c r="AR57" s="704"/>
      <c r="AS57" s="704"/>
      <c r="AT57" s="704"/>
      <c r="AU57" s="704"/>
      <c r="AV57" s="704"/>
      <c r="AW57" s="704"/>
      <c r="AX57" s="704"/>
      <c r="AY57" s="704"/>
      <c r="AZ57" s="704"/>
    </row>
    <row r="58" spans="1:52" ht="21.75" customHeight="1">
      <c r="A58" s="615"/>
      <c r="B58" s="615"/>
      <c r="C58" s="615"/>
      <c r="D58" s="867" t="s">
        <v>735</v>
      </c>
      <c r="E58" s="873">
        <f>Tabelle1!AS36</f>
        <v>0</v>
      </c>
      <c r="F58" s="874">
        <f>Tabelle1!AT36</f>
        <v>0</v>
      </c>
      <c r="G58" s="874">
        <f>Tabelle1!AU36</f>
        <v>0</v>
      </c>
      <c r="H58" s="874">
        <f>Tabelle1!AV36</f>
        <v>0</v>
      </c>
      <c r="I58" s="875">
        <f>Tabelle1!AW36</f>
        <v>0</v>
      </c>
      <c r="J58" s="876">
        <f>Tabelle1!BD30</f>
        <v>0</v>
      </c>
      <c r="K58" s="874">
        <f>Tabelle1!BE30</f>
        <v>0</v>
      </c>
      <c r="L58" s="874">
        <f>Tabelle1!BF30</f>
        <v>0</v>
      </c>
      <c r="M58" s="874">
        <f>Tabelle1!BG30</f>
        <v>0</v>
      </c>
      <c r="N58" s="877">
        <f>Tabelle1!BH30</f>
        <v>0</v>
      </c>
      <c r="O58" s="873">
        <f>Tabelle1!BJ30</f>
        <v>0</v>
      </c>
      <c r="P58" s="874">
        <f>Tabelle1!BK30</f>
        <v>0</v>
      </c>
      <c r="Q58" s="874">
        <f>Tabelle1!BL30</f>
        <v>0</v>
      </c>
      <c r="R58" s="874">
        <f>Tabelle1!BM30</f>
        <v>0</v>
      </c>
      <c r="S58" s="875">
        <f>Tabelle1!BN30</f>
        <v>0</v>
      </c>
      <c r="T58" s="615"/>
      <c r="U58" s="615"/>
      <c r="V58" s="704"/>
      <c r="W58" s="704"/>
      <c r="X58" s="704"/>
      <c r="Y58" s="704"/>
      <c r="Z58" s="704"/>
      <c r="AA58" s="704"/>
      <c r="AB58" s="704"/>
      <c r="AC58" s="704"/>
      <c r="AD58" s="704"/>
      <c r="AE58" s="704"/>
      <c r="AF58" s="704"/>
      <c r="AG58" s="704"/>
      <c r="AH58" s="704"/>
      <c r="AI58" s="704"/>
      <c r="AJ58" s="704"/>
      <c r="AK58" s="704"/>
      <c r="AL58" s="704"/>
      <c r="AM58" s="704"/>
      <c r="AN58" s="704"/>
      <c r="AO58" s="704"/>
      <c r="AP58" s="704"/>
      <c r="AQ58" s="704"/>
      <c r="AR58" s="704"/>
      <c r="AS58" s="704"/>
      <c r="AT58" s="704"/>
      <c r="AU58" s="704"/>
      <c r="AV58" s="704"/>
      <c r="AW58" s="704"/>
      <c r="AX58" s="704"/>
      <c r="AY58" s="704"/>
      <c r="AZ58" s="704"/>
    </row>
    <row r="59" spans="1:52" ht="17.850000000000001" customHeight="1">
      <c r="A59" s="615"/>
      <c r="B59" s="615"/>
      <c r="C59" s="615"/>
      <c r="D59" s="615"/>
      <c r="E59" s="615"/>
      <c r="F59" s="615"/>
      <c r="G59" s="615"/>
      <c r="H59" s="615"/>
      <c r="I59" s="615"/>
      <c r="J59" s="615"/>
      <c r="K59" s="615"/>
      <c r="L59" s="615"/>
      <c r="M59" s="615"/>
      <c r="N59" s="615"/>
      <c r="O59" s="615"/>
      <c r="P59" s="615"/>
      <c r="Q59" s="615"/>
      <c r="R59" s="615"/>
      <c r="S59" s="615"/>
      <c r="T59" s="615"/>
      <c r="U59" s="615"/>
      <c r="V59" s="704"/>
      <c r="W59" s="704"/>
      <c r="X59" s="704"/>
      <c r="Y59" s="704"/>
      <c r="Z59" s="704"/>
      <c r="AA59" s="704"/>
      <c r="AB59" s="704"/>
      <c r="AC59" s="704"/>
      <c r="AD59" s="704"/>
      <c r="AE59" s="704"/>
      <c r="AF59" s="704"/>
      <c r="AG59" s="704"/>
      <c r="AH59" s="704"/>
      <c r="AI59" s="704"/>
      <c r="AJ59" s="704"/>
      <c r="AK59" s="704"/>
      <c r="AL59" s="704"/>
      <c r="AM59" s="704"/>
      <c r="AN59" s="704"/>
      <c r="AO59" s="704"/>
      <c r="AP59" s="704"/>
      <c r="AQ59" s="704"/>
      <c r="AR59" s="704"/>
      <c r="AS59" s="704"/>
      <c r="AT59" s="704"/>
      <c r="AU59" s="704"/>
      <c r="AV59" s="704"/>
      <c r="AW59" s="704"/>
      <c r="AX59" s="704"/>
      <c r="AY59" s="704"/>
      <c r="AZ59" s="704"/>
    </row>
    <row r="60" spans="1:52" ht="30.75" customHeight="1">
      <c r="A60" s="3108" t="s">
        <v>736</v>
      </c>
      <c r="B60" s="3108"/>
      <c r="C60" s="3108"/>
      <c r="D60" s="3108"/>
      <c r="E60" s="3108"/>
      <c r="F60" s="3108"/>
      <c r="G60" s="3108"/>
      <c r="H60" s="3108"/>
      <c r="U60" s="878"/>
      <c r="AA60" s="878"/>
      <c r="AB60" s="878"/>
      <c r="AC60" s="878"/>
      <c r="AD60" s="878"/>
      <c r="AE60" s="878"/>
      <c r="AF60" s="878"/>
      <c r="AG60" s="878"/>
      <c r="AH60" s="878"/>
      <c r="AI60" s="878"/>
      <c r="AJ60" s="878"/>
      <c r="AK60" s="878"/>
      <c r="AL60" s="878"/>
      <c r="AM60" s="878"/>
      <c r="AN60" s="878"/>
      <c r="AO60" s="878"/>
      <c r="AP60" s="878"/>
      <c r="AQ60" s="878"/>
      <c r="AR60" s="878"/>
      <c r="AS60" s="878"/>
      <c r="AT60" s="878"/>
      <c r="AU60" s="878"/>
      <c r="AV60" s="878"/>
    </row>
    <row r="61" spans="1:52" ht="15.75" customHeight="1">
      <c r="A61" s="3119" t="s">
        <v>737</v>
      </c>
      <c r="B61" s="3119"/>
      <c r="C61" s="3119"/>
      <c r="D61" s="3119"/>
      <c r="E61" s="3119"/>
      <c r="F61" s="3119"/>
      <c r="G61" s="3119"/>
      <c r="H61" s="3119"/>
      <c r="T61" s="879"/>
      <c r="U61" s="878"/>
      <c r="AA61" s="878"/>
      <c r="AB61" s="878"/>
      <c r="AC61" s="878"/>
      <c r="AD61" s="878"/>
      <c r="AE61" s="878"/>
      <c r="AF61" s="878"/>
      <c r="AG61" s="878"/>
      <c r="AH61" s="878"/>
      <c r="AI61" s="878"/>
      <c r="AJ61" s="878"/>
      <c r="AK61" s="878"/>
      <c r="AL61" s="878"/>
      <c r="AM61" s="878"/>
      <c r="AN61" s="878"/>
      <c r="AO61" s="878"/>
      <c r="AP61" s="878"/>
      <c r="AQ61" s="878"/>
      <c r="AR61" s="878"/>
      <c r="AS61" s="878"/>
      <c r="AT61" s="878"/>
      <c r="AU61" s="878"/>
      <c r="AV61" s="878"/>
    </row>
    <row r="62" spans="1:52" ht="23.25" customHeight="1">
      <c r="A62" s="3119"/>
      <c r="B62" s="3119"/>
      <c r="C62" s="3119"/>
      <c r="D62" s="3119"/>
      <c r="E62" s="3119"/>
      <c r="F62" s="3119"/>
      <c r="G62" s="3119"/>
      <c r="H62" s="3119"/>
      <c r="AA62" s="878"/>
      <c r="AB62" s="878"/>
      <c r="AC62" s="878"/>
      <c r="AD62" s="878"/>
      <c r="AE62" s="878"/>
      <c r="AF62" s="878"/>
      <c r="AG62" s="878"/>
      <c r="AH62" s="878"/>
      <c r="AI62" s="878"/>
      <c r="AJ62" s="878"/>
      <c r="AK62" s="878"/>
      <c r="AL62" s="878"/>
      <c r="AM62" s="878"/>
      <c r="AN62" s="878"/>
      <c r="AO62" s="878"/>
      <c r="AP62" s="878"/>
      <c r="AQ62" s="878"/>
      <c r="AR62" s="878"/>
      <c r="AS62" s="878"/>
      <c r="AT62" s="878"/>
      <c r="AU62" s="878"/>
      <c r="AV62" s="878"/>
    </row>
    <row r="63" spans="1:52" ht="15" customHeight="1">
      <c r="A63" s="3119"/>
      <c r="B63" s="3119"/>
      <c r="C63" s="3119"/>
      <c r="D63" s="3119"/>
      <c r="E63" s="3119"/>
      <c r="F63" s="3119"/>
      <c r="G63" s="3119"/>
      <c r="H63" s="3119"/>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row>
    <row r="64" spans="1:52" ht="28.5" customHeight="1">
      <c r="A64" s="3104" t="s">
        <v>738</v>
      </c>
      <c r="B64" s="3104"/>
      <c r="C64" s="3104" t="s">
        <v>739</v>
      </c>
      <c r="D64" s="880" t="s">
        <v>740</v>
      </c>
      <c r="E64" s="880" t="s">
        <v>741</v>
      </c>
      <c r="F64" s="880" t="s">
        <v>742</v>
      </c>
      <c r="G64" s="880" t="s">
        <v>743</v>
      </c>
      <c r="H64" s="880" t="s">
        <v>744</v>
      </c>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row>
    <row r="65" spans="1:48" ht="15.75" customHeight="1">
      <c r="A65" s="3104"/>
      <c r="B65" s="3104"/>
      <c r="C65" s="3104"/>
      <c r="D65" s="3105" t="s">
        <v>745</v>
      </c>
      <c r="E65" s="3105"/>
      <c r="F65" s="3105"/>
      <c r="G65" s="3105"/>
      <c r="H65" s="3105"/>
      <c r="I65" s="878"/>
      <c r="J65" s="878"/>
      <c r="K65" s="878"/>
      <c r="L65" s="878"/>
      <c r="M65" s="878"/>
      <c r="N65" s="878"/>
      <c r="O65" s="878"/>
      <c r="P65" s="878"/>
      <c r="Q65" s="878"/>
      <c r="R65" s="878"/>
      <c r="S65" s="878"/>
      <c r="T65" s="878"/>
      <c r="U65" s="878"/>
      <c r="V65" s="878"/>
      <c r="W65" s="878"/>
      <c r="X65" s="878"/>
      <c r="Y65" s="878"/>
      <c r="Z65" s="878"/>
      <c r="AA65" s="878"/>
      <c r="AB65" s="878"/>
      <c r="AC65" s="878"/>
      <c r="AD65" s="878"/>
      <c r="AE65" s="878"/>
      <c r="AF65" s="878"/>
      <c r="AG65" s="878"/>
      <c r="AH65" s="878"/>
      <c r="AI65" s="878"/>
      <c r="AJ65" s="878"/>
      <c r="AK65" s="878"/>
      <c r="AL65" s="878"/>
      <c r="AM65" s="878"/>
      <c r="AN65" s="878"/>
      <c r="AO65" s="878"/>
      <c r="AP65" s="878"/>
      <c r="AQ65" s="878"/>
      <c r="AR65" s="878"/>
      <c r="AS65" s="878"/>
      <c r="AT65" s="878"/>
      <c r="AU65" s="878"/>
      <c r="AV65" s="878"/>
    </row>
    <row r="66" spans="1:48" ht="15" customHeight="1">
      <c r="A66" s="3116" t="s">
        <v>3</v>
      </c>
      <c r="B66" s="3116"/>
      <c r="C66" s="3116"/>
      <c r="D66" s="3116"/>
      <c r="E66" s="3116"/>
      <c r="F66" s="3116"/>
      <c r="G66" s="3116"/>
      <c r="H66" s="3116"/>
      <c r="I66" s="878"/>
      <c r="J66" s="878"/>
      <c r="K66" s="878"/>
      <c r="L66" s="878"/>
      <c r="M66" s="878"/>
      <c r="N66" s="878"/>
      <c r="O66" s="878"/>
      <c r="P66" s="878"/>
      <c r="Q66" s="878"/>
      <c r="R66" s="878"/>
      <c r="S66" s="878"/>
      <c r="T66" s="878"/>
      <c r="U66" s="878"/>
      <c r="V66" s="878"/>
      <c r="W66" s="878"/>
      <c r="X66" s="878"/>
      <c r="Y66" s="878"/>
      <c r="Z66" s="878"/>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row>
    <row r="67" spans="1:48" ht="15" customHeight="1">
      <c r="A67" s="3117" t="s">
        <v>746</v>
      </c>
      <c r="B67" s="3117"/>
      <c r="C67" s="3117"/>
      <c r="D67" s="3117"/>
      <c r="E67" s="3117"/>
      <c r="F67" s="3117"/>
      <c r="G67" s="3117"/>
      <c r="H67" s="3117"/>
      <c r="I67" s="878"/>
      <c r="J67" s="878"/>
      <c r="K67" s="878"/>
      <c r="L67" s="878"/>
      <c r="M67" s="878"/>
      <c r="N67" s="878"/>
      <c r="O67" s="878"/>
      <c r="P67" s="878"/>
      <c r="Q67" s="878"/>
      <c r="R67" s="878"/>
      <c r="S67" s="878"/>
      <c r="T67" s="878"/>
      <c r="U67" s="878"/>
      <c r="V67" s="878"/>
      <c r="W67" s="878"/>
      <c r="X67" s="878"/>
      <c r="Y67" s="878"/>
      <c r="Z67" s="878"/>
      <c r="AA67" s="878"/>
      <c r="AB67" s="878"/>
      <c r="AC67" s="878"/>
      <c r="AD67" s="878"/>
      <c r="AE67" s="878"/>
      <c r="AF67" s="878"/>
      <c r="AG67" s="878"/>
      <c r="AH67" s="878"/>
      <c r="AI67" s="878"/>
      <c r="AJ67" s="878"/>
      <c r="AK67" s="878"/>
      <c r="AL67" s="878"/>
      <c r="AM67" s="878"/>
      <c r="AN67" s="878"/>
      <c r="AO67" s="878"/>
      <c r="AP67" s="878"/>
      <c r="AQ67" s="878"/>
      <c r="AR67" s="878"/>
      <c r="AS67" s="878"/>
      <c r="AT67" s="878"/>
      <c r="AU67" s="878"/>
      <c r="AV67" s="878"/>
    </row>
    <row r="68" spans="1:48" ht="15.6" customHeight="1">
      <c r="A68" s="3118" t="s">
        <v>747</v>
      </c>
      <c r="B68" s="3118"/>
      <c r="C68" s="881" t="s">
        <v>748</v>
      </c>
      <c r="D68" s="882">
        <v>4.4000000000000004</v>
      </c>
      <c r="E68" s="882">
        <v>4</v>
      </c>
      <c r="F68" s="883">
        <v>4.2</v>
      </c>
      <c r="G68" s="883">
        <v>9.1</v>
      </c>
      <c r="H68" s="881">
        <v>129</v>
      </c>
      <c r="I68" s="878"/>
      <c r="J68" s="878"/>
      <c r="K68" s="878"/>
      <c r="L68" s="878"/>
      <c r="M68" s="878"/>
      <c r="N68" s="878"/>
      <c r="O68" s="878"/>
      <c r="P68" s="878"/>
      <c r="Q68" s="878"/>
      <c r="R68" s="878"/>
      <c r="S68" s="878"/>
      <c r="T68" s="878"/>
      <c r="U68" s="878"/>
      <c r="V68" s="878"/>
      <c r="W68" s="878"/>
      <c r="X68" s="878"/>
      <c r="Y68" s="878"/>
      <c r="Z68" s="878"/>
      <c r="AA68" s="878"/>
      <c r="AB68" s="878"/>
      <c r="AC68" s="878"/>
      <c r="AD68" s="878"/>
      <c r="AE68" s="878"/>
      <c r="AF68" s="878"/>
      <c r="AG68" s="878"/>
      <c r="AH68" s="878"/>
      <c r="AI68" s="878"/>
      <c r="AJ68" s="878"/>
      <c r="AK68" s="878"/>
      <c r="AL68" s="878"/>
      <c r="AM68" s="878"/>
      <c r="AN68" s="878"/>
      <c r="AO68" s="878"/>
      <c r="AP68" s="878"/>
      <c r="AQ68" s="878"/>
      <c r="AR68" s="878"/>
      <c r="AS68" s="878"/>
      <c r="AT68" s="878"/>
      <c r="AU68" s="878"/>
      <c r="AV68" s="878"/>
    </row>
    <row r="69" spans="1:48">
      <c r="A69" s="3118" t="s">
        <v>601</v>
      </c>
      <c r="B69" s="3118"/>
      <c r="C69" s="881" t="s">
        <v>749</v>
      </c>
      <c r="D69" s="882">
        <v>2.1</v>
      </c>
      <c r="E69" s="882">
        <v>1.9</v>
      </c>
      <c r="F69" s="883">
        <v>2</v>
      </c>
      <c r="G69" s="883">
        <v>4.4000000000000004</v>
      </c>
      <c r="H69" s="881">
        <v>62</v>
      </c>
      <c r="I69" s="878"/>
      <c r="J69" s="878"/>
      <c r="K69" s="878"/>
      <c r="L69" s="878"/>
      <c r="M69" s="878"/>
      <c r="N69" s="878"/>
      <c r="O69" s="878"/>
      <c r="P69" s="878"/>
      <c r="Q69" s="878"/>
      <c r="R69" s="878"/>
      <c r="S69" s="878"/>
      <c r="T69" s="878"/>
      <c r="U69" s="878"/>
      <c r="V69" s="878"/>
      <c r="W69" s="878"/>
      <c r="X69" s="878"/>
      <c r="Y69" s="878"/>
      <c r="Z69" s="878"/>
      <c r="AA69" s="878"/>
      <c r="AB69" s="878"/>
      <c r="AC69" s="878"/>
      <c r="AD69" s="878"/>
      <c r="AE69" s="878"/>
      <c r="AF69" s="878"/>
      <c r="AG69" s="878"/>
      <c r="AH69" s="878"/>
      <c r="AI69" s="878"/>
      <c r="AJ69" s="878"/>
      <c r="AK69" s="878"/>
      <c r="AL69" s="878"/>
      <c r="AM69" s="878"/>
      <c r="AN69" s="878"/>
      <c r="AO69" s="878"/>
      <c r="AP69" s="878"/>
      <c r="AQ69" s="878"/>
      <c r="AR69" s="878"/>
      <c r="AS69" s="878"/>
      <c r="AT69" s="878"/>
      <c r="AU69" s="878"/>
      <c r="AV69" s="878"/>
    </row>
    <row r="70" spans="1:48" ht="15.75" customHeight="1">
      <c r="A70" s="3118" t="s">
        <v>750</v>
      </c>
      <c r="B70" s="3118"/>
      <c r="C70" s="884" t="s">
        <v>751</v>
      </c>
      <c r="D70" s="885">
        <v>3.2</v>
      </c>
      <c r="E70" s="885">
        <v>2.9</v>
      </c>
      <c r="F70" s="886">
        <v>2.5</v>
      </c>
      <c r="G70" s="886">
        <v>4.2</v>
      </c>
      <c r="H70" s="884">
        <v>145</v>
      </c>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row>
    <row r="71" spans="1:48" ht="15" customHeight="1">
      <c r="A71" s="3118" t="s">
        <v>752</v>
      </c>
      <c r="B71" s="3118"/>
      <c r="C71" s="887">
        <v>3</v>
      </c>
      <c r="D71" s="888">
        <v>3.3959999999999999</v>
      </c>
      <c r="E71" s="888">
        <v>3</v>
      </c>
      <c r="F71" s="889">
        <v>0.2</v>
      </c>
      <c r="G71" s="889">
        <v>9.5</v>
      </c>
      <c r="H71" s="887">
        <v>13</v>
      </c>
      <c r="I71" s="878"/>
      <c r="J71" s="878"/>
      <c r="K71" s="878"/>
      <c r="L71" s="878"/>
      <c r="M71" s="878"/>
      <c r="N71" s="878"/>
      <c r="O71" s="878"/>
      <c r="P71" s="878"/>
      <c r="Q71" s="878"/>
      <c r="R71" s="878"/>
      <c r="S71" s="878"/>
      <c r="T71" s="878"/>
      <c r="U71" s="878"/>
      <c r="V71" s="878"/>
      <c r="W71" s="878"/>
      <c r="X71" s="878"/>
      <c r="Y71" s="878"/>
      <c r="Z71" s="878"/>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row>
    <row r="72" spans="1:48" ht="17.850000000000001" customHeight="1">
      <c r="A72" s="3118" t="s">
        <v>753</v>
      </c>
      <c r="B72" s="3118"/>
      <c r="C72" s="881">
        <v>5</v>
      </c>
      <c r="D72" s="882">
        <v>2</v>
      </c>
      <c r="E72" s="882">
        <v>1.7000000000000002</v>
      </c>
      <c r="F72" s="883">
        <v>1</v>
      </c>
      <c r="G72" s="883">
        <v>3.3</v>
      </c>
      <c r="H72" s="881">
        <v>38</v>
      </c>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row>
    <row r="73" spans="1:48" ht="15.75" customHeight="1">
      <c r="A73" s="3118" t="s">
        <v>754</v>
      </c>
      <c r="B73" s="3118"/>
      <c r="C73" s="881">
        <v>10</v>
      </c>
      <c r="D73" s="882">
        <v>3.9</v>
      </c>
      <c r="E73" s="882">
        <v>3.4</v>
      </c>
      <c r="F73" s="883">
        <v>2</v>
      </c>
      <c r="G73" s="883">
        <v>6.5</v>
      </c>
      <c r="H73" s="881">
        <v>76</v>
      </c>
      <c r="I73" s="878"/>
      <c r="J73" s="878"/>
      <c r="K73" s="878"/>
      <c r="L73" s="878"/>
      <c r="M73" s="878"/>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row>
    <row r="74" spans="1:48" ht="14.25" customHeight="1">
      <c r="A74" s="3117" t="s">
        <v>755</v>
      </c>
      <c r="B74" s="3117"/>
      <c r="C74" s="3117"/>
      <c r="D74" s="3117"/>
      <c r="E74" s="3117"/>
      <c r="F74" s="3117"/>
      <c r="G74" s="3117"/>
      <c r="H74" s="3117"/>
      <c r="I74" s="878"/>
      <c r="J74" s="878"/>
      <c r="K74" s="878"/>
      <c r="L74" s="878"/>
      <c r="M74" s="878"/>
      <c r="N74" s="878"/>
      <c r="O74" s="878"/>
      <c r="P74" s="878"/>
      <c r="Q74" s="878"/>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row>
    <row r="75" spans="1:48">
      <c r="A75" s="3118" t="s">
        <v>754</v>
      </c>
      <c r="B75" s="3118"/>
      <c r="C75" s="881">
        <v>10</v>
      </c>
      <c r="D75" s="882">
        <v>5.2</v>
      </c>
      <c r="E75" s="882">
        <v>4.5</v>
      </c>
      <c r="F75" s="883">
        <v>2.5</v>
      </c>
      <c r="G75" s="883">
        <v>5</v>
      </c>
      <c r="H75" s="881">
        <v>75</v>
      </c>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878"/>
      <c r="AK75" s="878"/>
      <c r="AL75" s="878"/>
      <c r="AM75" s="878"/>
      <c r="AN75" s="878"/>
      <c r="AO75" s="878"/>
      <c r="AP75" s="878"/>
      <c r="AQ75" s="878"/>
      <c r="AR75" s="878"/>
      <c r="AS75" s="878"/>
      <c r="AT75" s="878"/>
      <c r="AU75" s="878"/>
      <c r="AV75" s="878"/>
    </row>
    <row r="76" spans="1:48" ht="14.25" customHeight="1">
      <c r="A76" s="3117" t="s">
        <v>756</v>
      </c>
      <c r="B76" s="3117"/>
      <c r="C76" s="3117"/>
      <c r="D76" s="3117"/>
      <c r="E76" s="3117"/>
      <c r="F76" s="3117"/>
      <c r="G76" s="3117"/>
      <c r="H76" s="3117"/>
      <c r="I76" s="878"/>
      <c r="J76" s="878"/>
      <c r="K76" s="878"/>
      <c r="L76" s="878"/>
      <c r="M76" s="878"/>
      <c r="N76" s="878"/>
      <c r="O76" s="878"/>
      <c r="P76" s="878"/>
      <c r="Q76" s="878"/>
      <c r="R76" s="878"/>
      <c r="S76" s="878"/>
      <c r="T76" s="878"/>
      <c r="U76" s="878"/>
      <c r="V76" s="878"/>
      <c r="W76" s="878"/>
      <c r="X76" s="878"/>
      <c r="Y76" s="878"/>
      <c r="Z76" s="878"/>
      <c r="AA76" s="878"/>
      <c r="AB76" s="878"/>
      <c r="AC76" s="878"/>
      <c r="AD76" s="878"/>
      <c r="AE76" s="878"/>
      <c r="AF76" s="878"/>
      <c r="AG76" s="878"/>
      <c r="AH76" s="878"/>
      <c r="AI76" s="878"/>
      <c r="AJ76" s="878"/>
      <c r="AK76" s="878"/>
      <c r="AL76" s="878"/>
      <c r="AM76" s="878"/>
      <c r="AN76" s="878"/>
      <c r="AO76" s="878"/>
      <c r="AP76" s="878"/>
      <c r="AQ76" s="878"/>
      <c r="AR76" s="878"/>
      <c r="AS76" s="878"/>
      <c r="AT76" s="878"/>
      <c r="AU76" s="878"/>
      <c r="AV76" s="878"/>
    </row>
    <row r="77" spans="1:48">
      <c r="A77" s="3118" t="s">
        <v>754</v>
      </c>
      <c r="B77" s="3118"/>
      <c r="C77" s="881">
        <v>5</v>
      </c>
      <c r="D77" s="882">
        <v>6.1</v>
      </c>
      <c r="E77" s="882">
        <v>5.3</v>
      </c>
      <c r="F77" s="883">
        <v>2.5</v>
      </c>
      <c r="G77" s="883">
        <v>4</v>
      </c>
      <c r="H77" s="881">
        <v>35</v>
      </c>
      <c r="I77" s="878"/>
      <c r="J77" s="878"/>
      <c r="K77" s="878"/>
      <c r="L77" s="878"/>
      <c r="M77" s="878"/>
      <c r="N77" s="878"/>
      <c r="O77" s="878"/>
      <c r="P77" s="878"/>
      <c r="Q77" s="878"/>
      <c r="R77" s="878"/>
      <c r="S77" s="878"/>
      <c r="T77" s="878"/>
      <c r="U77" s="878"/>
      <c r="V77" s="878"/>
      <c r="W77" s="878"/>
      <c r="X77" s="878"/>
      <c r="Y77" s="878"/>
      <c r="Z77" s="878"/>
      <c r="AA77" s="878"/>
      <c r="AB77" s="878"/>
      <c r="AC77" s="878"/>
      <c r="AD77" s="878"/>
      <c r="AE77" s="878"/>
      <c r="AF77" s="878"/>
      <c r="AG77" s="878"/>
      <c r="AH77" s="878"/>
      <c r="AI77" s="878"/>
      <c r="AJ77" s="878"/>
      <c r="AK77" s="878"/>
      <c r="AL77" s="878"/>
      <c r="AM77" s="878"/>
      <c r="AN77" s="878"/>
      <c r="AO77" s="878"/>
      <c r="AP77" s="878"/>
      <c r="AQ77" s="878"/>
      <c r="AR77" s="878"/>
      <c r="AS77" s="878"/>
      <c r="AT77" s="878"/>
      <c r="AU77" s="878"/>
      <c r="AV77" s="878"/>
    </row>
    <row r="78" spans="1:48" ht="15.6" customHeight="1">
      <c r="A78" s="3116" t="s">
        <v>757</v>
      </c>
      <c r="B78" s="3116"/>
      <c r="C78" s="3116"/>
      <c r="D78" s="3116"/>
      <c r="E78" s="3116"/>
      <c r="F78" s="3116"/>
      <c r="G78" s="3116"/>
      <c r="H78" s="3116"/>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row>
    <row r="79" spans="1:48">
      <c r="A79" s="3118" t="s">
        <v>758</v>
      </c>
      <c r="B79" s="3118"/>
      <c r="C79" s="890" t="s">
        <v>759</v>
      </c>
      <c r="D79" s="882">
        <v>4.3</v>
      </c>
      <c r="E79" s="891">
        <v>3.9</v>
      </c>
      <c r="F79" s="892">
        <v>2.1</v>
      </c>
      <c r="G79" s="892">
        <v>4.9000000000000004</v>
      </c>
      <c r="H79" s="893">
        <v>140</v>
      </c>
    </row>
    <row r="80" spans="1:48" ht="14.25" customHeight="1">
      <c r="A80" s="3116" t="s">
        <v>760</v>
      </c>
      <c r="B80" s="3116"/>
      <c r="C80" s="3116"/>
      <c r="D80" s="3116"/>
      <c r="E80" s="3116"/>
      <c r="F80" s="3116"/>
      <c r="G80" s="3116"/>
      <c r="H80" s="3116"/>
    </row>
    <row r="81" spans="1:8">
      <c r="A81" s="3118" t="s">
        <v>592</v>
      </c>
      <c r="B81" s="3118"/>
      <c r="C81" s="894" t="s">
        <v>759</v>
      </c>
      <c r="D81" s="882">
        <v>2.2999999999999998</v>
      </c>
      <c r="E81" s="891">
        <v>2.1</v>
      </c>
      <c r="F81" s="892">
        <v>1.5</v>
      </c>
      <c r="G81" s="892">
        <v>3</v>
      </c>
      <c r="H81" s="895">
        <v>113</v>
      </c>
    </row>
    <row r="82" spans="1:8" ht="31.5" customHeight="1">
      <c r="A82" s="3116" t="s">
        <v>761</v>
      </c>
      <c r="B82" s="3116"/>
      <c r="C82" s="3116"/>
      <c r="D82" s="3116"/>
      <c r="E82" s="3116"/>
      <c r="F82" s="3116"/>
      <c r="G82" s="3116"/>
      <c r="H82" s="3116"/>
    </row>
    <row r="83" spans="1:8" ht="14.25" customHeight="1">
      <c r="A83" s="3117" t="s">
        <v>762</v>
      </c>
      <c r="B83" s="3117"/>
      <c r="C83" s="3117"/>
      <c r="D83" s="3117"/>
      <c r="E83" s="3117"/>
      <c r="F83" s="3117"/>
      <c r="G83" s="3117"/>
      <c r="H83" s="3117"/>
    </row>
    <row r="84" spans="1:8">
      <c r="A84" s="3118" t="s">
        <v>592</v>
      </c>
      <c r="B84" s="3118"/>
      <c r="C84" s="884">
        <v>25</v>
      </c>
      <c r="D84" s="885">
        <v>4.2</v>
      </c>
      <c r="E84" s="885">
        <v>3.8</v>
      </c>
      <c r="F84" s="896">
        <v>5.5</v>
      </c>
      <c r="G84" s="896">
        <v>3.6</v>
      </c>
      <c r="H84" s="884">
        <v>182</v>
      </c>
    </row>
    <row r="85" spans="1:8">
      <c r="A85" s="3118" t="s">
        <v>22</v>
      </c>
      <c r="B85" s="3118"/>
      <c r="C85" s="887">
        <v>2</v>
      </c>
      <c r="D85" s="888">
        <v>3.9</v>
      </c>
      <c r="E85" s="888">
        <v>3.4</v>
      </c>
      <c r="F85" s="897">
        <v>1</v>
      </c>
      <c r="G85" s="897">
        <v>3</v>
      </c>
      <c r="H85" s="887">
        <v>8</v>
      </c>
    </row>
    <row r="86" spans="1:8">
      <c r="A86" s="3118" t="s">
        <v>753</v>
      </c>
      <c r="B86" s="3118"/>
      <c r="C86" s="881">
        <v>5</v>
      </c>
      <c r="D86" s="882">
        <v>3.2</v>
      </c>
      <c r="E86" s="882">
        <v>2.8</v>
      </c>
      <c r="F86" s="898">
        <v>2.2000000000000002</v>
      </c>
      <c r="G86" s="899">
        <v>2</v>
      </c>
      <c r="H86" s="881">
        <v>38</v>
      </c>
    </row>
    <row r="87" spans="1:8">
      <c r="A87" s="3118" t="s">
        <v>754</v>
      </c>
      <c r="B87" s="3118"/>
      <c r="C87" s="890">
        <v>10</v>
      </c>
      <c r="D87" s="882">
        <v>6.4</v>
      </c>
      <c r="E87" s="900">
        <v>5.6</v>
      </c>
      <c r="F87" s="901">
        <v>4.4000000000000004</v>
      </c>
      <c r="G87" s="902">
        <v>4</v>
      </c>
      <c r="H87" s="890">
        <v>76</v>
      </c>
    </row>
    <row r="88" spans="1:8" ht="14.25" customHeight="1">
      <c r="A88" s="3117" t="s">
        <v>763</v>
      </c>
      <c r="B88" s="3117"/>
      <c r="C88" s="3117"/>
      <c r="D88" s="3117"/>
      <c r="E88" s="3117"/>
      <c r="F88" s="3117"/>
      <c r="G88" s="3117"/>
      <c r="H88" s="3117"/>
    </row>
    <row r="89" spans="1:8">
      <c r="A89" s="3118" t="s">
        <v>764</v>
      </c>
      <c r="B89" s="3118"/>
      <c r="C89" s="881">
        <v>5</v>
      </c>
      <c r="D89" s="882">
        <v>5.2</v>
      </c>
      <c r="E89" s="882">
        <v>4.5</v>
      </c>
      <c r="F89" s="882">
        <v>3.5</v>
      </c>
      <c r="G89" s="882">
        <v>3.5</v>
      </c>
      <c r="H89" s="881">
        <v>35</v>
      </c>
    </row>
    <row r="90" spans="1:8">
      <c r="A90" s="3118" t="s">
        <v>765</v>
      </c>
      <c r="B90" s="3118"/>
      <c r="C90" s="881">
        <v>10</v>
      </c>
      <c r="D90" s="882">
        <v>6.9</v>
      </c>
      <c r="E90" s="882">
        <v>6</v>
      </c>
      <c r="F90" s="882">
        <v>5</v>
      </c>
      <c r="G90" s="882">
        <v>4</v>
      </c>
      <c r="H90" s="881">
        <v>75</v>
      </c>
    </row>
    <row r="91" spans="1:8">
      <c r="A91" s="3118" t="s">
        <v>758</v>
      </c>
      <c r="B91" s="3118"/>
      <c r="C91" s="903">
        <v>30</v>
      </c>
      <c r="D91" s="882">
        <v>7.4</v>
      </c>
      <c r="E91" s="900">
        <v>6.7</v>
      </c>
      <c r="F91" s="900">
        <v>4.5999999999999996</v>
      </c>
      <c r="G91" s="900">
        <v>7.3</v>
      </c>
      <c r="H91" s="900" t="s">
        <v>226</v>
      </c>
    </row>
    <row r="92" spans="1:8" ht="14.25" customHeight="1">
      <c r="A92" s="3116" t="s">
        <v>258</v>
      </c>
      <c r="B92" s="3116"/>
      <c r="C92" s="3116"/>
      <c r="D92" s="3116"/>
      <c r="E92" s="3116"/>
      <c r="F92" s="3116"/>
      <c r="G92" s="3116"/>
      <c r="H92" s="3116"/>
    </row>
    <row r="93" spans="1:8" ht="14.25" customHeight="1">
      <c r="A93" s="3117" t="s">
        <v>766</v>
      </c>
      <c r="B93" s="3117"/>
      <c r="C93" s="3117"/>
      <c r="D93" s="3117"/>
      <c r="E93" s="3117"/>
      <c r="F93" s="3117"/>
      <c r="G93" s="3117"/>
      <c r="H93" s="3117"/>
    </row>
    <row r="94" spans="1:8">
      <c r="A94" s="3118" t="s">
        <v>767</v>
      </c>
      <c r="B94" s="3118"/>
      <c r="C94" s="881">
        <v>10</v>
      </c>
      <c r="D94" s="882">
        <v>2.6</v>
      </c>
      <c r="E94" s="882">
        <v>2.2999999999999998</v>
      </c>
      <c r="F94" s="881">
        <v>2.5</v>
      </c>
      <c r="G94" s="881">
        <v>1.5</v>
      </c>
      <c r="H94" s="881">
        <v>38</v>
      </c>
    </row>
    <row r="95" spans="1:8">
      <c r="A95" s="3118" t="s">
        <v>768</v>
      </c>
      <c r="B95" s="3118"/>
      <c r="C95" s="881">
        <v>50</v>
      </c>
      <c r="D95" s="882">
        <v>8.5</v>
      </c>
      <c r="E95" s="882">
        <v>7.7</v>
      </c>
      <c r="F95" s="899">
        <v>12</v>
      </c>
      <c r="G95" s="899">
        <v>7</v>
      </c>
      <c r="H95" s="881">
        <v>180</v>
      </c>
    </row>
    <row r="96" spans="1:8" ht="14.25" customHeight="1">
      <c r="A96" s="3117" t="s">
        <v>769</v>
      </c>
      <c r="B96" s="3117"/>
      <c r="C96" s="3117"/>
      <c r="D96" s="3117"/>
      <c r="E96" s="3117"/>
      <c r="F96" s="3117"/>
      <c r="G96" s="3117"/>
      <c r="H96" s="3117"/>
    </row>
    <row r="97" spans="1:8">
      <c r="A97" s="3118" t="s">
        <v>770</v>
      </c>
      <c r="B97" s="3118"/>
      <c r="C97" s="881">
        <v>60</v>
      </c>
      <c r="D97" s="882">
        <v>9.1999999999999993</v>
      </c>
      <c r="E97" s="882">
        <v>8.4</v>
      </c>
      <c r="F97" s="883">
        <v>10</v>
      </c>
      <c r="G97" s="883">
        <v>8</v>
      </c>
      <c r="H97" s="881">
        <v>250</v>
      </c>
    </row>
    <row r="98" spans="1:8" ht="14.25" customHeight="1">
      <c r="A98" s="3117" t="s">
        <v>771</v>
      </c>
      <c r="B98" s="3117"/>
      <c r="C98" s="3117"/>
      <c r="D98" s="3117"/>
      <c r="E98" s="3117"/>
      <c r="F98" s="3117"/>
      <c r="G98" s="3117"/>
      <c r="H98" s="3117"/>
    </row>
    <row r="99" spans="1:8">
      <c r="A99" s="3118" t="s">
        <v>770</v>
      </c>
      <c r="B99" s="3118"/>
      <c r="C99" s="881">
        <v>50</v>
      </c>
      <c r="D99" s="882">
        <v>7.7</v>
      </c>
      <c r="E99" s="882">
        <v>7</v>
      </c>
      <c r="F99" s="883">
        <v>10</v>
      </c>
      <c r="G99" s="883">
        <v>8</v>
      </c>
      <c r="H99" s="881">
        <v>190</v>
      </c>
    </row>
  </sheetData>
  <sheetProtection password="CC3A" sheet="1" objects="1" scenarios="1" formatCells="0" formatRows="0"/>
  <mergeCells count="60">
    <mergeCell ref="A98:H98"/>
    <mergeCell ref="A99:B99"/>
    <mergeCell ref="A92:H92"/>
    <mergeCell ref="A93:H93"/>
    <mergeCell ref="A94:B94"/>
    <mergeCell ref="A95:B95"/>
    <mergeCell ref="A96:H96"/>
    <mergeCell ref="A97:B97"/>
    <mergeCell ref="A67:H67"/>
    <mergeCell ref="A61:H63"/>
    <mergeCell ref="A91:B91"/>
    <mergeCell ref="A80:H80"/>
    <mergeCell ref="A81:B81"/>
    <mergeCell ref="A82:H82"/>
    <mergeCell ref="A83:H83"/>
    <mergeCell ref="A84:B84"/>
    <mergeCell ref="A85:B85"/>
    <mergeCell ref="A86:B86"/>
    <mergeCell ref="A87:B87"/>
    <mergeCell ref="A88:H88"/>
    <mergeCell ref="A89:B89"/>
    <mergeCell ref="A90:B90"/>
    <mergeCell ref="A79:B79"/>
    <mergeCell ref="A68:B68"/>
    <mergeCell ref="A69:B69"/>
    <mergeCell ref="A70:B70"/>
    <mergeCell ref="A71:B71"/>
    <mergeCell ref="A72:B72"/>
    <mergeCell ref="A73:B73"/>
    <mergeCell ref="A74:H74"/>
    <mergeCell ref="A75:B75"/>
    <mergeCell ref="A76:H76"/>
    <mergeCell ref="A77:B77"/>
    <mergeCell ref="A78:H78"/>
    <mergeCell ref="A53:B53"/>
    <mergeCell ref="A54:B54"/>
    <mergeCell ref="R12:X22"/>
    <mergeCell ref="J38:N38"/>
    <mergeCell ref="A66:H66"/>
    <mergeCell ref="M1:N1"/>
    <mergeCell ref="O1:P1"/>
    <mergeCell ref="O3:P3"/>
    <mergeCell ref="A64:B65"/>
    <mergeCell ref="C64:C65"/>
    <mergeCell ref="D65:H65"/>
    <mergeCell ref="O6:P6"/>
    <mergeCell ref="A12:B12"/>
    <mergeCell ref="A60:H60"/>
    <mergeCell ref="A38:B39"/>
    <mergeCell ref="C38:C39"/>
    <mergeCell ref="D38:D39"/>
    <mergeCell ref="E38:I38"/>
    <mergeCell ref="O38:S38"/>
    <mergeCell ref="A51:B51"/>
    <mergeCell ref="A52:B52"/>
    <mergeCell ref="R3:S3"/>
    <mergeCell ref="O4:P4"/>
    <mergeCell ref="A20:B20"/>
    <mergeCell ref="A31:A34"/>
    <mergeCell ref="O5:P5"/>
  </mergeCells>
  <dataValidations count="2">
    <dataValidation operator="equal" allowBlank="1" showErrorMessage="1" promptTitle="Hinweis" prompt="Schätzen Sie den Jahresanfall ab und tragen ihn hier ein." sqref="F13:F18 IN13:IN18">
      <formula1>0</formula1>
      <formula2>0</formula2>
    </dataValidation>
    <dataValidation operator="equal" allowBlank="1" showErrorMessage="1" sqref="IJ13:IJ18">
      <formula1>0</formula1>
      <formula2>0</formula2>
    </dataValidation>
  </dataValidations>
  <hyperlinks>
    <hyperlink ref="M1" location="Organ__Dü!B4" display="◄"/>
    <hyperlink ref="O1" location="Mineral!B3" display="  ►"/>
    <hyperlink ref="M1:N1" location="Tiere!B4" display="◄"/>
    <hyperlink ref="O1:P1" location="Organ__Dü!B3" display="  ►"/>
  </hyperlinks>
  <pageMargins left="0.43307086614173229" right="0.43307086614173229" top="0.27559055118110237" bottom="0.35433070866141736" header="0.31496062992125984" footer="0.15748031496062992"/>
  <pageSetup paperSize="9" scale="89" firstPageNumber="0" orientation="landscape" blackAndWhite="1" horizontalDpi="300" verticalDpi="300"/>
  <headerFooter alignWithMargins="0">
    <oddFooter>&amp;L&amp;11&amp;F&amp;C&amp;A&amp;R&amp;P von &amp;N</oddFoot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26"/>
  <sheetViews>
    <sheetView topLeftCell="W1" zoomScale="70" zoomScaleNormal="70" zoomScalePageLayoutView="70" workbookViewId="0">
      <pane ySplit="3" topLeftCell="A4" activePane="bottomLeft" state="frozenSplit"/>
      <selection pane="bottomLeft" activeCell="AN15" sqref="AN15"/>
    </sheetView>
  </sheetViews>
  <sheetFormatPr baseColWidth="10" defaultColWidth="5.85546875" defaultRowHeight="12.75"/>
  <cols>
    <col min="1" max="1" width="4.85546875" style="1" customWidth="1"/>
    <col min="2" max="2" width="9.85546875" customWidth="1"/>
    <col min="3" max="3" width="26.42578125" customWidth="1"/>
    <col min="4" max="8" width="7.7109375" style="1" customWidth="1"/>
    <col min="9" max="10" width="8.42578125" style="1" customWidth="1"/>
    <col min="11" max="11" width="10.42578125" style="1" customWidth="1"/>
    <col min="12" max="14" width="8.42578125" style="1" customWidth="1"/>
    <col min="15" max="15" width="8.85546875" style="1" customWidth="1"/>
    <col min="16" max="19" width="8.42578125" style="1" customWidth="1"/>
    <col min="20" max="20" width="9.85546875" style="1" customWidth="1"/>
    <col min="21" max="31" width="8.42578125" style="1" customWidth="1"/>
    <col min="32" max="32" width="9.28515625" style="1" customWidth="1"/>
    <col min="33" max="33" width="8.85546875" style="1" customWidth="1"/>
    <col min="34" max="34" width="8.42578125" style="1" customWidth="1"/>
    <col min="35" max="35" width="43.85546875" style="1" customWidth="1"/>
    <col min="36" max="36" width="8" style="2" customWidth="1"/>
    <col min="37" max="38" width="8" style="1" customWidth="1"/>
    <col min="39" max="39" width="13.42578125" style="1" customWidth="1"/>
    <col min="40" max="40" width="21.42578125" style="1" customWidth="1"/>
    <col min="41" max="41" width="15" customWidth="1"/>
    <col min="42" max="42" width="45.7109375" customWidth="1"/>
    <col min="43" max="44" width="10.42578125" customWidth="1"/>
    <col min="45" max="49" width="9.42578125" style="1" customWidth="1"/>
    <col min="50" max="50" width="10.140625" style="1" customWidth="1"/>
    <col min="51" max="51" width="8.85546875" style="1" customWidth="1"/>
    <col min="52" max="52" width="10.140625" style="1" customWidth="1"/>
    <col min="53" max="53" width="8.85546875" style="1" customWidth="1"/>
    <col min="54" max="54" width="12" style="1" customWidth="1"/>
    <col min="55" max="55" width="11.28515625" style="1" customWidth="1"/>
    <col min="56" max="56" width="9.85546875" style="1" customWidth="1"/>
    <col min="57" max="67" width="8.85546875" style="1" customWidth="1"/>
    <col min="68" max="71" width="7" style="1" customWidth="1"/>
    <col min="72" max="72" width="8.85546875" style="1" customWidth="1"/>
    <col min="73" max="73" width="7.42578125" style="1" customWidth="1"/>
    <col min="74" max="78" width="7.7109375" style="1" customWidth="1"/>
    <col min="79" max="79" width="8.85546875" style="1" customWidth="1"/>
    <col min="80" max="80" width="8.7109375" customWidth="1"/>
    <col min="81" max="84" width="8.140625" customWidth="1"/>
    <col min="85" max="85" width="7.7109375" customWidth="1"/>
    <col min="86" max="95" width="8.140625" customWidth="1"/>
    <col min="106" max="107" width="8" customWidth="1"/>
    <col min="108" max="108" width="25.85546875" customWidth="1"/>
    <col min="109" max="109" width="6.85546875" customWidth="1"/>
    <col min="110" max="110" width="7.42578125" customWidth="1"/>
    <col min="111" max="111" width="7.140625" customWidth="1"/>
    <col min="112" max="112" width="52.7109375" customWidth="1"/>
  </cols>
  <sheetData>
    <row r="1" spans="1:112" ht="16.5" thickBot="1">
      <c r="A1"/>
      <c r="B1" s="3" t="s">
        <v>0</v>
      </c>
      <c r="C1" s="4"/>
      <c r="D1" s="5"/>
      <c r="E1" s="5"/>
      <c r="F1" s="5"/>
      <c r="G1" s="5"/>
      <c r="H1" s="5"/>
      <c r="I1" s="6"/>
      <c r="J1" s="6"/>
      <c r="K1" s="6"/>
      <c r="L1" s="6"/>
      <c r="M1" s="6"/>
      <c r="N1" s="6"/>
      <c r="O1" s="6"/>
      <c r="P1" s="6"/>
      <c r="Q1" s="6"/>
      <c r="R1" s="6"/>
      <c r="S1" s="6"/>
      <c r="T1" s="6"/>
      <c r="U1" s="6"/>
      <c r="V1" s="6"/>
      <c r="W1" s="6"/>
      <c r="X1" s="6"/>
      <c r="Y1" s="6"/>
      <c r="Z1" s="6"/>
      <c r="AA1" s="6"/>
      <c r="AB1" s="6"/>
      <c r="AC1" s="6"/>
      <c r="AD1" s="6"/>
      <c r="AE1" s="6"/>
      <c r="AF1" s="6"/>
      <c r="AG1" s="6"/>
      <c r="AH1" s="6"/>
      <c r="AI1" s="7"/>
      <c r="AJ1" s="7" t="s">
        <v>1</v>
      </c>
      <c r="AK1" s="6"/>
      <c r="AL1"/>
      <c r="AM1" s="8"/>
      <c r="AN1"/>
      <c r="AP1" s="9"/>
      <c r="AQ1" s="9"/>
      <c r="AR1" s="9"/>
      <c r="AS1"/>
      <c r="AT1"/>
      <c r="AU1"/>
      <c r="AV1"/>
      <c r="AW1"/>
      <c r="AX1"/>
      <c r="AY1"/>
      <c r="AZ1"/>
      <c r="BA1"/>
      <c r="BB1" s="9" t="s">
        <v>2</v>
      </c>
      <c r="BC1"/>
      <c r="BD1"/>
      <c r="BE1"/>
      <c r="BF1"/>
      <c r="BG1"/>
      <c r="BH1"/>
      <c r="BI1"/>
      <c r="BJ1"/>
      <c r="BK1"/>
      <c r="BL1"/>
      <c r="BM1"/>
      <c r="BN1"/>
      <c r="BO1"/>
      <c r="BP1"/>
      <c r="BQ1"/>
      <c r="BR1"/>
      <c r="BS1"/>
      <c r="BT1"/>
      <c r="BU1"/>
      <c r="BV1"/>
      <c r="BW1"/>
      <c r="BX1"/>
      <c r="BY1"/>
      <c r="BZ1"/>
      <c r="CA1"/>
    </row>
    <row r="2" spans="1:112" ht="16.5" customHeight="1" thickBot="1">
      <c r="A2"/>
      <c r="B2" s="10"/>
      <c r="C2" s="11" t="s">
        <v>3</v>
      </c>
      <c r="D2" s="3124" t="s">
        <v>4</v>
      </c>
      <c r="E2" s="3124"/>
      <c r="F2" s="3124"/>
      <c r="G2" s="3124"/>
      <c r="H2" s="3124"/>
      <c r="I2" s="3125" t="s">
        <v>5</v>
      </c>
      <c r="J2" s="3125"/>
      <c r="K2" s="3125"/>
      <c r="L2" s="12"/>
      <c r="M2" s="2705" t="s">
        <v>6</v>
      </c>
      <c r="N2" s="2708" t="s">
        <v>7</v>
      </c>
      <c r="O2" s="2709"/>
      <c r="P2" s="2710"/>
      <c r="Q2" s="2715"/>
      <c r="R2" s="2716"/>
      <c r="S2" s="2717" t="s">
        <v>8</v>
      </c>
      <c r="T2" s="2718"/>
      <c r="U2" s="2719"/>
      <c r="V2" s="2715"/>
      <c r="W2" s="2715"/>
      <c r="X2" s="2734" t="s">
        <v>9</v>
      </c>
      <c r="Y2" s="2735"/>
      <c r="Z2" s="2735"/>
      <c r="AA2" s="2736"/>
      <c r="AB2" s="2738" t="s">
        <v>10</v>
      </c>
      <c r="AC2" s="2735"/>
      <c r="AD2" s="2735"/>
      <c r="AE2" s="2736"/>
      <c r="AF2" s="2704" t="s">
        <v>11</v>
      </c>
      <c r="AG2" s="2735"/>
      <c r="AH2" s="2736"/>
      <c r="AI2" s="13" t="s">
        <v>3</v>
      </c>
      <c r="AJ2" s="3126" t="s">
        <v>12</v>
      </c>
      <c r="AK2" s="3127" t="s">
        <v>13</v>
      </c>
      <c r="AL2" s="15" t="s">
        <v>14</v>
      </c>
      <c r="AM2" s="8"/>
      <c r="AN2"/>
      <c r="AP2" s="16"/>
      <c r="AQ2" s="16" t="s">
        <v>15</v>
      </c>
      <c r="AR2" s="17">
        <v>15</v>
      </c>
      <c r="AS2" s="18">
        <v>3</v>
      </c>
      <c r="AT2" s="19">
        <v>4</v>
      </c>
      <c r="AU2" s="19">
        <v>5</v>
      </c>
      <c r="AV2" s="19">
        <v>6</v>
      </c>
      <c r="AW2" s="20">
        <v>7</v>
      </c>
      <c r="AX2" s="21"/>
      <c r="AY2" s="22">
        <v>8</v>
      </c>
      <c r="AZ2" s="19">
        <v>9</v>
      </c>
      <c r="BA2" s="20">
        <v>10</v>
      </c>
      <c r="BB2" s="21">
        <v>11</v>
      </c>
      <c r="BC2" s="21">
        <v>12</v>
      </c>
      <c r="BD2" s="22">
        <v>13</v>
      </c>
      <c r="BE2" s="19">
        <v>14</v>
      </c>
      <c r="BF2" s="19">
        <v>15</v>
      </c>
      <c r="BG2" s="19">
        <v>16</v>
      </c>
      <c r="BH2" s="20">
        <v>17</v>
      </c>
      <c r="BI2" s="21"/>
      <c r="BJ2" s="22">
        <v>18</v>
      </c>
      <c r="BK2" s="19">
        <v>19</v>
      </c>
      <c r="BL2" s="19">
        <v>20</v>
      </c>
      <c r="BM2" s="19">
        <v>21</v>
      </c>
      <c r="BN2" s="20">
        <v>22</v>
      </c>
      <c r="BO2" s="23"/>
      <c r="BP2" s="24" t="s">
        <v>16</v>
      </c>
      <c r="BQ2" s="25"/>
      <c r="BR2" s="25"/>
      <c r="BS2" s="25"/>
      <c r="BT2" s="26"/>
      <c r="BU2" s="26"/>
      <c r="BV2"/>
      <c r="BW2"/>
      <c r="BX2"/>
      <c r="BY2"/>
      <c r="BZ2"/>
      <c r="CA2"/>
      <c r="CH2" s="27" t="s">
        <v>17</v>
      </c>
      <c r="CI2" s="28"/>
      <c r="CJ2" s="28"/>
      <c r="CK2" s="28"/>
      <c r="CL2" s="28"/>
      <c r="CM2" s="28"/>
      <c r="CN2" s="28"/>
      <c r="CO2" s="28"/>
      <c r="CP2" s="28"/>
      <c r="CQ2" s="29"/>
      <c r="CR2" s="27" t="s">
        <v>18</v>
      </c>
      <c r="CS2" s="30"/>
      <c r="CT2" s="30"/>
      <c r="CU2" s="30"/>
      <c r="CV2" s="30"/>
      <c r="CW2" s="30"/>
      <c r="CX2" s="30"/>
      <c r="CY2" s="30"/>
      <c r="CZ2" s="30"/>
      <c r="DA2" s="31"/>
    </row>
    <row r="3" spans="1:112" ht="15.75" customHeight="1" thickBot="1">
      <c r="A3"/>
      <c r="B3" s="10"/>
      <c r="C3" s="11"/>
      <c r="D3" s="32" t="s">
        <v>19</v>
      </c>
      <c r="E3" s="33" t="s">
        <v>20</v>
      </c>
      <c r="F3" s="33" t="s">
        <v>21</v>
      </c>
      <c r="G3" s="33" t="s">
        <v>22</v>
      </c>
      <c r="H3" s="34" t="s">
        <v>23</v>
      </c>
      <c r="I3" s="35" t="s">
        <v>24</v>
      </c>
      <c r="J3" s="36" t="s">
        <v>22</v>
      </c>
      <c r="K3" s="37" t="s">
        <v>23</v>
      </c>
      <c r="L3" s="38" t="s">
        <v>25</v>
      </c>
      <c r="M3" s="2706" t="s">
        <v>26</v>
      </c>
      <c r="N3" s="2711" t="s">
        <v>19</v>
      </c>
      <c r="O3" s="2712" t="s">
        <v>20</v>
      </c>
      <c r="P3" s="2712" t="s">
        <v>21</v>
      </c>
      <c r="Q3" s="2713" t="s">
        <v>22</v>
      </c>
      <c r="R3" s="2714" t="s">
        <v>23</v>
      </c>
      <c r="S3" s="2720" t="s">
        <v>19</v>
      </c>
      <c r="T3" s="2721" t="s">
        <v>20</v>
      </c>
      <c r="U3" s="2721" t="s">
        <v>21</v>
      </c>
      <c r="V3" s="2722" t="s">
        <v>22</v>
      </c>
      <c r="W3" s="2729" t="s">
        <v>23</v>
      </c>
      <c r="X3" s="2737" t="s">
        <v>20</v>
      </c>
      <c r="Y3" s="2713" t="s">
        <v>21</v>
      </c>
      <c r="Z3" s="2713" t="s">
        <v>22</v>
      </c>
      <c r="AA3" s="2714" t="s">
        <v>23</v>
      </c>
      <c r="AB3" s="2737" t="s">
        <v>20</v>
      </c>
      <c r="AC3" s="2713" t="s">
        <v>21</v>
      </c>
      <c r="AD3" s="2713" t="s">
        <v>22</v>
      </c>
      <c r="AE3" s="2714" t="s">
        <v>23</v>
      </c>
      <c r="AF3" s="2730" t="s">
        <v>24</v>
      </c>
      <c r="AG3" s="2713" t="s">
        <v>22</v>
      </c>
      <c r="AH3" s="2714" t="s">
        <v>23</v>
      </c>
      <c r="AI3" s="13"/>
      <c r="AJ3" s="3126"/>
      <c r="AK3" s="3127"/>
      <c r="AL3" s="15" t="s">
        <v>27</v>
      </c>
      <c r="AM3" s="8"/>
      <c r="AN3"/>
      <c r="AP3" s="16"/>
      <c r="AQ3" s="16"/>
      <c r="AR3" s="3128" t="s">
        <v>28</v>
      </c>
      <c r="AS3" s="3123" t="s">
        <v>29</v>
      </c>
      <c r="AT3" s="3123"/>
      <c r="AU3" s="3123"/>
      <c r="AV3" s="3123"/>
      <c r="AW3" s="3123"/>
      <c r="AX3" s="39" t="s">
        <v>30</v>
      </c>
      <c r="AY3" s="3139" t="s">
        <v>31</v>
      </c>
      <c r="AZ3" s="3139"/>
      <c r="BA3" s="3139"/>
      <c r="BB3" s="40" t="s">
        <v>32</v>
      </c>
      <c r="BC3" s="3140" t="s">
        <v>28</v>
      </c>
      <c r="BD3" s="3120" t="s">
        <v>33</v>
      </c>
      <c r="BE3" s="3120"/>
      <c r="BF3" s="3120"/>
      <c r="BG3" s="3120"/>
      <c r="BH3" s="3120"/>
      <c r="BI3" s="39" t="s">
        <v>9</v>
      </c>
      <c r="BJ3" s="3120" t="s">
        <v>34</v>
      </c>
      <c r="BK3" s="3120"/>
      <c r="BL3" s="3120"/>
      <c r="BM3" s="3120"/>
      <c r="BN3" s="3120"/>
      <c r="BO3" s="41" t="s">
        <v>35</v>
      </c>
      <c r="BP3" s="3121" t="s">
        <v>36</v>
      </c>
      <c r="BQ3" s="3122" t="s">
        <v>37</v>
      </c>
      <c r="BR3" s="3121" t="s">
        <v>36</v>
      </c>
      <c r="BS3" s="3137" t="s">
        <v>38</v>
      </c>
      <c r="BT3" s="3138" t="s">
        <v>39</v>
      </c>
      <c r="BU3" s="3138"/>
      <c r="BV3" s="3129" t="s">
        <v>40</v>
      </c>
      <c r="BW3" s="3129"/>
      <c r="BX3" s="3129"/>
      <c r="BY3" s="3129"/>
      <c r="BZ3" s="3129"/>
      <c r="CA3" s="39" t="s">
        <v>41</v>
      </c>
      <c r="CB3" s="3129" t="s">
        <v>42</v>
      </c>
      <c r="CC3" s="3129"/>
      <c r="CD3" s="3129"/>
      <c r="CE3" s="3129"/>
      <c r="CF3" s="3129"/>
      <c r="CG3" s="39" t="s">
        <v>41</v>
      </c>
      <c r="CH3" s="3129" t="s">
        <v>43</v>
      </c>
      <c r="CI3" s="3129"/>
      <c r="CJ3" s="3129"/>
      <c r="CK3" s="3129"/>
      <c r="CL3" s="3129"/>
      <c r="CM3" s="3129" t="s">
        <v>44</v>
      </c>
      <c r="CN3" s="3129"/>
      <c r="CO3" s="3129"/>
      <c r="CP3" s="3129"/>
      <c r="CQ3" s="3129"/>
      <c r="CR3" s="3129" t="s">
        <v>45</v>
      </c>
      <c r="CS3" s="3129"/>
      <c r="CT3" s="3129"/>
      <c r="CU3" s="3129"/>
      <c r="CV3" s="3129"/>
      <c r="CW3" s="3129" t="s">
        <v>44</v>
      </c>
      <c r="CX3" s="3129"/>
      <c r="CY3" s="3129"/>
      <c r="CZ3" s="3129"/>
      <c r="DA3" s="3129"/>
      <c r="DB3" s="42" t="s">
        <v>46</v>
      </c>
      <c r="DC3" s="3134" t="s">
        <v>47</v>
      </c>
      <c r="DD3" s="43" t="s">
        <v>48</v>
      </c>
      <c r="DE3" s="44"/>
      <c r="DF3" s="45" t="s">
        <v>49</v>
      </c>
      <c r="DG3" s="46"/>
    </row>
    <row r="4" spans="1:112" ht="29.25" thickBot="1">
      <c r="A4" s="1">
        <v>0</v>
      </c>
      <c r="B4" s="47">
        <v>0</v>
      </c>
      <c r="C4" s="48">
        <v>0</v>
      </c>
      <c r="D4" s="49">
        <v>0</v>
      </c>
      <c r="E4" s="50">
        <v>0</v>
      </c>
      <c r="F4" s="50">
        <v>0</v>
      </c>
      <c r="G4" s="50">
        <v>0</v>
      </c>
      <c r="H4" s="50">
        <v>0</v>
      </c>
      <c r="I4" s="50">
        <v>0</v>
      </c>
      <c r="J4" s="50">
        <v>0</v>
      </c>
      <c r="K4" s="50">
        <v>0</v>
      </c>
      <c r="L4" s="50">
        <v>0</v>
      </c>
      <c r="M4" s="50">
        <v>0</v>
      </c>
      <c r="N4" s="2707">
        <v>0</v>
      </c>
      <c r="O4" s="2707">
        <v>0</v>
      </c>
      <c r="P4" s="2707">
        <v>0</v>
      </c>
      <c r="Q4" s="2707">
        <v>0</v>
      </c>
      <c r="R4" s="2707">
        <v>0</v>
      </c>
      <c r="S4" s="50">
        <v>0</v>
      </c>
      <c r="T4" s="50">
        <v>0</v>
      </c>
      <c r="U4" s="50">
        <v>0</v>
      </c>
      <c r="V4" s="50">
        <v>0</v>
      </c>
      <c r="W4" s="50">
        <v>0</v>
      </c>
      <c r="X4" s="2731"/>
      <c r="Y4" s="2732"/>
      <c r="Z4" s="2732"/>
      <c r="AA4" s="2732"/>
      <c r="AB4" s="2732"/>
      <c r="AC4" s="2732"/>
      <c r="AD4" s="2732"/>
      <c r="AE4" s="2733"/>
      <c r="AF4" s="50">
        <v>0</v>
      </c>
      <c r="AG4" s="50">
        <v>0</v>
      </c>
      <c r="AH4" s="50">
        <v>0</v>
      </c>
      <c r="AI4" s="54" t="s">
        <v>3</v>
      </c>
      <c r="AJ4" s="3135"/>
      <c r="AK4" s="3135"/>
      <c r="AL4" s="15"/>
      <c r="AM4" s="8"/>
      <c r="AN4" s="55" t="s">
        <v>50</v>
      </c>
      <c r="AP4" s="16"/>
      <c r="AQ4" s="16" t="s">
        <v>51</v>
      </c>
      <c r="AR4" s="3128"/>
      <c r="AS4" s="56" t="s">
        <v>19</v>
      </c>
      <c r="AT4" s="16" t="s">
        <v>20</v>
      </c>
      <c r="AU4" s="16" t="s">
        <v>21</v>
      </c>
      <c r="AV4" s="16" t="s">
        <v>22</v>
      </c>
      <c r="AW4" s="57" t="s">
        <v>23</v>
      </c>
      <c r="AX4" s="58" t="s">
        <v>52</v>
      </c>
      <c r="AY4" s="59" t="s">
        <v>24</v>
      </c>
      <c r="AZ4" s="16" t="s">
        <v>22</v>
      </c>
      <c r="BA4" s="57" t="s">
        <v>23</v>
      </c>
      <c r="BB4" s="60" t="s">
        <v>25</v>
      </c>
      <c r="BC4" s="3140"/>
      <c r="BD4" s="59" t="s">
        <v>19</v>
      </c>
      <c r="BE4" s="16" t="s">
        <v>20</v>
      </c>
      <c r="BF4" s="16" t="s">
        <v>21</v>
      </c>
      <c r="BG4" s="16" t="s">
        <v>22</v>
      </c>
      <c r="BH4" s="57" t="s">
        <v>23</v>
      </c>
      <c r="BI4" s="58" t="s">
        <v>52</v>
      </c>
      <c r="BJ4" s="59" t="s">
        <v>19</v>
      </c>
      <c r="BK4" s="16" t="s">
        <v>20</v>
      </c>
      <c r="BL4" s="16" t="s">
        <v>21</v>
      </c>
      <c r="BM4" s="16" t="s">
        <v>22</v>
      </c>
      <c r="BN4" s="57" t="s">
        <v>23</v>
      </c>
      <c r="BO4" s="61" t="s">
        <v>52</v>
      </c>
      <c r="BP4" s="3121"/>
      <c r="BQ4" s="3122"/>
      <c r="BR4" s="3121"/>
      <c r="BS4" s="3137"/>
      <c r="BT4" s="62" t="s">
        <v>53</v>
      </c>
      <c r="BU4" s="63" t="s">
        <v>54</v>
      </c>
      <c r="BV4" s="56" t="s">
        <v>19</v>
      </c>
      <c r="BW4" s="16" t="s">
        <v>20</v>
      </c>
      <c r="BX4" s="16" t="s">
        <v>21</v>
      </c>
      <c r="BY4" s="16" t="s">
        <v>22</v>
      </c>
      <c r="BZ4" s="64" t="s">
        <v>23</v>
      </c>
      <c r="CA4" s="58" t="s">
        <v>55</v>
      </c>
      <c r="CB4" s="56" t="s">
        <v>19</v>
      </c>
      <c r="CC4" s="16" t="s">
        <v>20</v>
      </c>
      <c r="CD4" s="16" t="s">
        <v>21</v>
      </c>
      <c r="CE4" s="16" t="s">
        <v>22</v>
      </c>
      <c r="CF4" s="64" t="s">
        <v>23</v>
      </c>
      <c r="CG4" s="58" t="s">
        <v>56</v>
      </c>
      <c r="CH4" s="65" t="s">
        <v>19</v>
      </c>
      <c r="CI4" s="66" t="s">
        <v>20</v>
      </c>
      <c r="CJ4" s="66" t="s">
        <v>21</v>
      </c>
      <c r="CK4" s="66" t="s">
        <v>22</v>
      </c>
      <c r="CL4" s="67" t="s">
        <v>23</v>
      </c>
      <c r="CM4" s="65" t="s">
        <v>19</v>
      </c>
      <c r="CN4" s="66" t="s">
        <v>20</v>
      </c>
      <c r="CO4" s="66" t="s">
        <v>21</v>
      </c>
      <c r="CP4" s="66" t="s">
        <v>22</v>
      </c>
      <c r="CQ4" s="67" t="s">
        <v>23</v>
      </c>
      <c r="CR4" s="65" t="s">
        <v>19</v>
      </c>
      <c r="CS4" s="66" t="s">
        <v>20</v>
      </c>
      <c r="CT4" s="66" t="s">
        <v>21</v>
      </c>
      <c r="CU4" s="66" t="s">
        <v>22</v>
      </c>
      <c r="CV4" s="67" t="s">
        <v>23</v>
      </c>
      <c r="CW4" s="65" t="s">
        <v>19</v>
      </c>
      <c r="CX4" s="66" t="s">
        <v>20</v>
      </c>
      <c r="CY4" s="66" t="s">
        <v>21</v>
      </c>
      <c r="CZ4" s="66" t="s">
        <v>22</v>
      </c>
      <c r="DA4" s="67" t="s">
        <v>23</v>
      </c>
      <c r="DB4" s="68" t="s">
        <v>57</v>
      </c>
      <c r="DC4" s="3134"/>
      <c r="DD4" s="69" t="s">
        <v>58</v>
      </c>
      <c r="DE4" s="70" t="s">
        <v>59</v>
      </c>
      <c r="DF4" s="71" t="s">
        <v>58</v>
      </c>
      <c r="DG4" s="72" t="s">
        <v>59</v>
      </c>
    </row>
    <row r="5" spans="1:112" ht="13.5" thickBot="1">
      <c r="A5" s="1">
        <v>1</v>
      </c>
      <c r="B5" s="47" t="s">
        <v>3</v>
      </c>
      <c r="C5" s="48" t="s">
        <v>3</v>
      </c>
      <c r="D5" s="49">
        <v>3</v>
      </c>
      <c r="E5" s="50">
        <v>4</v>
      </c>
      <c r="F5" s="50">
        <v>5</v>
      </c>
      <c r="G5" s="50">
        <v>6</v>
      </c>
      <c r="H5" s="73">
        <v>7</v>
      </c>
      <c r="I5" s="51">
        <v>8</v>
      </c>
      <c r="J5" s="52">
        <v>9</v>
      </c>
      <c r="K5" s="53">
        <v>10</v>
      </c>
      <c r="L5" s="51">
        <v>11</v>
      </c>
      <c r="M5" s="53">
        <v>12</v>
      </c>
      <c r="N5" s="51">
        <v>13</v>
      </c>
      <c r="O5" s="53">
        <v>14</v>
      </c>
      <c r="P5" s="51">
        <v>15</v>
      </c>
      <c r="Q5" s="53">
        <v>16</v>
      </c>
      <c r="R5" s="51">
        <v>17</v>
      </c>
      <c r="S5" s="53">
        <v>18</v>
      </c>
      <c r="T5" s="51">
        <v>19</v>
      </c>
      <c r="U5" s="53">
        <v>20</v>
      </c>
      <c r="V5" s="51">
        <v>21</v>
      </c>
      <c r="W5" s="53">
        <v>22</v>
      </c>
      <c r="X5" s="51">
        <v>23</v>
      </c>
      <c r="Y5" s="53">
        <v>24</v>
      </c>
      <c r="Z5" s="51">
        <v>25</v>
      </c>
      <c r="AA5" s="53">
        <v>26</v>
      </c>
      <c r="AB5" s="51">
        <v>27</v>
      </c>
      <c r="AC5" s="53">
        <v>28</v>
      </c>
      <c r="AD5" s="51">
        <v>29</v>
      </c>
      <c r="AE5" s="53">
        <v>30</v>
      </c>
      <c r="AF5" s="51">
        <v>31</v>
      </c>
      <c r="AG5" s="53">
        <v>32</v>
      </c>
      <c r="AH5" s="51">
        <v>33</v>
      </c>
      <c r="AI5" s="54" t="s">
        <v>3</v>
      </c>
      <c r="AJ5" s="74">
        <v>35</v>
      </c>
      <c r="AK5" s="14">
        <v>36</v>
      </c>
      <c r="AL5" s="15">
        <v>37</v>
      </c>
      <c r="AM5" s="8"/>
      <c r="AN5" s="15" t="s">
        <v>60</v>
      </c>
      <c r="AP5" s="75">
        <f>Tiere!B5</f>
        <v>0</v>
      </c>
      <c r="AQ5" s="76">
        <f>IF(AP5=0,0,Tiere!I5)</f>
        <v>0</v>
      </c>
      <c r="AR5" s="77">
        <f>VLOOKUP($AP5,Tabelle1!$B$4:$AE$144,12,0)*$AQ5</f>
        <v>0</v>
      </c>
      <c r="AS5" s="78">
        <f>VLOOKUP($AP5,Tabelle1!$B$4:$W$144,3,0)*$AR5</f>
        <v>0</v>
      </c>
      <c r="AT5" s="79">
        <f>VLOOKUP($AP5,Tabelle1!$B$4:$W$144,4,0)*$AR5</f>
        <v>0</v>
      </c>
      <c r="AU5" s="80">
        <f>VLOOKUP($AP5,Tabelle1!$B$4:$W$144,5,0)*$AR5</f>
        <v>0</v>
      </c>
      <c r="AV5" s="80">
        <f>VLOOKUP($AP5,Tabelle1!$B$4:$W$144,6,0)*$AR5</f>
        <v>0</v>
      </c>
      <c r="AW5" s="81">
        <f>VLOOKUP($AP5,Tabelle1!$B$4:$W$144,7,0)*$AR5</f>
        <v>0</v>
      </c>
      <c r="AX5" s="82">
        <f t="shared" ref="AX5:AX20" si="0">SUM(AS5:AW5)</f>
        <v>0</v>
      </c>
      <c r="AY5" s="83">
        <f>VLOOKUP($AP5,Tabelle1!$B$4:$W$144,8,0)*$AQ5</f>
        <v>0</v>
      </c>
      <c r="AZ5" s="84">
        <f>VLOOKUP($AP5,Tabelle1!$B$4:$W$144,9,0)*$AQ5</f>
        <v>0</v>
      </c>
      <c r="BA5" s="85">
        <f>VLOOKUP($AP5,Tabelle1!$B$4:$W$144,10,0)*$AQ5</f>
        <v>0</v>
      </c>
      <c r="BB5" s="86">
        <f>VLOOKUP($AP5,Tabelle1!$B$4:$W$144,11,0)*$AQ5</f>
        <v>0</v>
      </c>
      <c r="BC5" s="86">
        <f>DB5</f>
        <v>0</v>
      </c>
      <c r="BD5" s="79">
        <f>VLOOKUP($AP5,Tabelle1!$B$4:$W$144,13,0)*$AR5</f>
        <v>0</v>
      </c>
      <c r="BE5" s="80">
        <f>VLOOKUP($AP5,Tabelle1!$B$4:$W$144,14,0)*$AR5</f>
        <v>0</v>
      </c>
      <c r="BF5" s="80">
        <f>VLOOKUP($AP5,Tabelle1!$B$4:$W$144,15,0)*$AR5</f>
        <v>0</v>
      </c>
      <c r="BG5" s="80">
        <f>VLOOKUP($AP5,Tabelle1!$B$4:$W$144,16,0)*$AR5</f>
        <v>0</v>
      </c>
      <c r="BH5" s="81">
        <f>VLOOKUP($AP5,Tabelle1!$B$4:$W$144,17,0)*$AR5</f>
        <v>0</v>
      </c>
      <c r="BI5" s="87">
        <f t="shared" ref="BI5:BI20" si="1">SUM(BD5:BH5)</f>
        <v>0</v>
      </c>
      <c r="BJ5" s="88">
        <f>VLOOKUP($AP5,Tabelle1!$B$4:$W$144,18,0)*$AR5</f>
        <v>0</v>
      </c>
      <c r="BK5" s="15">
        <f>VLOOKUP($AP5,Tabelle1!$B$4:$W$144,19,0)*$AR5</f>
        <v>0</v>
      </c>
      <c r="BL5" s="15">
        <f>VLOOKUP($AP5,Tabelle1!$B$4:$W$144,20,0)*$AR5</f>
        <v>0</v>
      </c>
      <c r="BM5" s="15">
        <f>VLOOKUP($AP5,Tabelle1!$B$4:$W$144,21,0)*$AR5</f>
        <v>0</v>
      </c>
      <c r="BN5" s="89">
        <f>VLOOKUP($AP5,Tabelle1!$B$4:$W$144,22,0)*$AR5</f>
        <v>0</v>
      </c>
      <c r="BO5" s="90">
        <f t="shared" ref="BO5:BO19" si="2">SUM(BJ5:BN5)</f>
        <v>0</v>
      </c>
      <c r="BP5" s="91">
        <f>Tiere!K5</f>
        <v>0</v>
      </c>
      <c r="BQ5" s="92">
        <f>Tiere!L5</f>
        <v>0</v>
      </c>
      <c r="BR5" s="91">
        <f>Tiere!M5</f>
        <v>0</v>
      </c>
      <c r="BS5" s="77">
        <f>Tiere!N5</f>
        <v>0</v>
      </c>
      <c r="BT5" s="93">
        <f t="shared" ref="BT5:BT19" si="3">IF($AR5=0,0,BP5/$AR5)*(BQ5/364)</f>
        <v>0</v>
      </c>
      <c r="BU5" s="93">
        <f t="shared" ref="BU5:BU19" si="4">IF($AR5=0,0,BR5/$AR5)*(BS5/364)</f>
        <v>0</v>
      </c>
      <c r="BV5" s="78">
        <f t="shared" ref="BV5:BV19" si="5">AS5*$BT5</f>
        <v>0</v>
      </c>
      <c r="BW5" s="79">
        <f t="shared" ref="BW5:BW19" si="6">AT5*$BT5</f>
        <v>0</v>
      </c>
      <c r="BX5" s="80">
        <f t="shared" ref="BX5:BX19" si="7">AU5*$BT5</f>
        <v>0</v>
      </c>
      <c r="BY5" s="80">
        <f t="shared" ref="BY5:BY19" si="8">AV5*$BT5</f>
        <v>0</v>
      </c>
      <c r="BZ5" s="94">
        <f t="shared" ref="BZ5:BZ19" si="9">AW5*$BT5</f>
        <v>0</v>
      </c>
      <c r="CA5" s="82">
        <f t="shared" ref="CA5:CA19" si="10">SUM(BV5:BZ5)</f>
        <v>0</v>
      </c>
      <c r="CB5" s="86">
        <f t="shared" ref="CB5:CB19" si="11">AS5*$BU5</f>
        <v>0</v>
      </c>
      <c r="CC5" s="86">
        <f t="shared" ref="CC5:CC19" si="12">AT5*$BU5</f>
        <v>0</v>
      </c>
      <c r="CD5" s="86">
        <f t="shared" ref="CD5:CD19" si="13">AU5*$BU5</f>
        <v>0</v>
      </c>
      <c r="CE5" s="86">
        <f t="shared" ref="CE5:CE19" si="14">AV5*$BU5</f>
        <v>0</v>
      </c>
      <c r="CF5" s="95">
        <f t="shared" ref="CF5:CF19" si="15">AW5*$BU5</f>
        <v>0</v>
      </c>
      <c r="CG5" s="82">
        <f t="shared" ref="CG5:CG19" si="16">SUM(CB5:CF5)</f>
        <v>0</v>
      </c>
      <c r="CH5" s="78">
        <f t="shared" ref="CH5:CH19" si="17">BD5*$BT5</f>
        <v>0</v>
      </c>
      <c r="CI5" s="79">
        <f t="shared" ref="CI5:CI19" si="18">BE5*$BT5</f>
        <v>0</v>
      </c>
      <c r="CJ5" s="80">
        <f t="shared" ref="CJ5:CJ19" si="19">BF5*$BT5</f>
        <v>0</v>
      </c>
      <c r="CK5" s="80">
        <f t="shared" ref="CK5:CK19" si="20">BG5*$BT5</f>
        <v>0</v>
      </c>
      <c r="CL5" s="94">
        <f t="shared" ref="CL5:CL19" si="21">BH5*$BT5</f>
        <v>0</v>
      </c>
      <c r="CM5" s="78">
        <f t="shared" ref="CM5:CM19" si="22">BJ5*$BT5</f>
        <v>0</v>
      </c>
      <c r="CN5" s="79">
        <f t="shared" ref="CN5:CN19" si="23">BK5*$BT5</f>
        <v>0</v>
      </c>
      <c r="CO5" s="80">
        <f t="shared" ref="CO5:CO19" si="24">BL5*$BT5</f>
        <v>0</v>
      </c>
      <c r="CP5" s="80">
        <f t="shared" ref="CP5:CP19" si="25">BM5*$BT5</f>
        <v>0</v>
      </c>
      <c r="CQ5" s="94">
        <f t="shared" ref="CQ5:CQ19" si="26">BN5*$BT5</f>
        <v>0</v>
      </c>
      <c r="CR5" s="78">
        <f t="shared" ref="CR5:CR19" si="27">BD5*$BU5</f>
        <v>0</v>
      </c>
      <c r="CS5" s="79">
        <f t="shared" ref="CS5:CS19" si="28">BE5*$BU5</f>
        <v>0</v>
      </c>
      <c r="CT5" s="80">
        <f t="shared" ref="CT5:CT19" si="29">BF5*$BU5</f>
        <v>0</v>
      </c>
      <c r="CU5" s="80">
        <f t="shared" ref="CU5:CU19" si="30">BG5*$BU5</f>
        <v>0</v>
      </c>
      <c r="CV5" s="94">
        <f t="shared" ref="CV5:CV19" si="31">BH5*$BU5</f>
        <v>0</v>
      </c>
      <c r="CW5" s="78">
        <f t="shared" ref="CW5:CW19" si="32">BJ5*$BU5</f>
        <v>0</v>
      </c>
      <c r="CX5" s="79">
        <f t="shared" ref="CX5:CX19" si="33">BK5*$BU5</f>
        <v>0</v>
      </c>
      <c r="CY5" s="80">
        <f t="shared" ref="CY5:CY19" si="34">BL5*$BU5</f>
        <v>0</v>
      </c>
      <c r="CZ5" s="80">
        <f t="shared" ref="CZ5:CZ19" si="35">BM5*$BU5</f>
        <v>0</v>
      </c>
      <c r="DA5" s="94">
        <f t="shared" ref="DA5:DA19" si="36">BN5*$BU5</f>
        <v>0</v>
      </c>
      <c r="DB5" s="96">
        <f>VLOOKUP($AP5,Tabelle1!$B$4:$W$144,11,0)*$BR5</f>
        <v>0</v>
      </c>
      <c r="DC5" s="97">
        <f t="shared" ref="DC5:DC19" si="37">AR5</f>
        <v>0</v>
      </c>
      <c r="DD5" s="98">
        <f>VLOOKUP($AP5,Tabelle1!$B$4:$AJ$144,35,0)</f>
        <v>0</v>
      </c>
      <c r="DE5" s="99">
        <f t="shared" ref="DE5:DE19" si="38">IF(DD5&gt;0,(DD5*DC5)/170,AX5/170)</f>
        <v>0</v>
      </c>
      <c r="DF5" s="100">
        <f>VLOOKUP($AP5,Tabelle1!$B$4:$AK$144,36,0)</f>
        <v>0</v>
      </c>
      <c r="DG5" s="101">
        <f t="shared" ref="DG5:DG19" si="39">IF(DF5&gt;0,(DF5*DC5)/170,AX5/170)</f>
        <v>0</v>
      </c>
      <c r="DH5">
        <f t="shared" ref="DH5:DH19" si="40">AP5</f>
        <v>0</v>
      </c>
    </row>
    <row r="6" spans="1:112">
      <c r="A6" s="1">
        <v>2</v>
      </c>
      <c r="B6" s="102" t="str">
        <f t="shared" ref="B6:B44" si="41">A6&amp;" - "&amp;C6</f>
        <v>2 - andere Kälber und Jungrinder unter 1/2 Jahr - Gülle</v>
      </c>
      <c r="C6" s="103" t="s">
        <v>61</v>
      </c>
      <c r="D6" s="104">
        <v>12.7</v>
      </c>
      <c r="E6" s="105"/>
      <c r="F6" s="105"/>
      <c r="G6" s="105"/>
      <c r="H6" s="106"/>
      <c r="I6" s="107">
        <v>1.3</v>
      </c>
      <c r="J6" s="15"/>
      <c r="K6" s="108"/>
      <c r="L6" s="107">
        <v>0.4</v>
      </c>
      <c r="M6" s="108">
        <v>1</v>
      </c>
      <c r="N6" s="107">
        <v>7.1</v>
      </c>
      <c r="O6" s="15"/>
      <c r="P6" s="15"/>
      <c r="Q6" s="84"/>
      <c r="R6" s="109"/>
      <c r="S6" s="95">
        <v>10.9</v>
      </c>
      <c r="T6" s="84"/>
      <c r="U6" s="84"/>
      <c r="V6" s="84"/>
      <c r="W6" s="109"/>
      <c r="X6" s="110"/>
      <c r="Y6" s="111"/>
      <c r="Z6" s="111"/>
      <c r="AA6" s="112"/>
      <c r="AB6" s="111"/>
      <c r="AC6" s="111"/>
      <c r="AD6" s="111"/>
      <c r="AE6" s="112"/>
      <c r="AF6" s="107">
        <v>11</v>
      </c>
      <c r="AG6" s="15"/>
      <c r="AH6" s="108"/>
      <c r="AI6" s="113" t="s">
        <v>61</v>
      </c>
      <c r="AJ6" s="114">
        <v>34</v>
      </c>
      <c r="AK6" s="115">
        <v>12.8</v>
      </c>
      <c r="AL6" s="100">
        <f t="shared" ref="AL6:AL44" si="42">170/AK6</f>
        <v>13.28125</v>
      </c>
      <c r="AM6" s="8"/>
      <c r="AN6" s="15" t="s">
        <v>62</v>
      </c>
      <c r="AP6" s="75">
        <f>Tiere!B6</f>
        <v>0</v>
      </c>
      <c r="AQ6" s="76">
        <f>IF(AP6=0,0,Tiere!I6)</f>
        <v>0</v>
      </c>
      <c r="AR6" s="77">
        <f>VLOOKUP($AP6,Tabelle1!$B$4:$AE$144,12,0)*$AQ6</f>
        <v>0</v>
      </c>
      <c r="AS6" s="78">
        <f>VLOOKUP($AP6,Tabelle1!$B$4:$W$144,3,0)*$AR6</f>
        <v>0</v>
      </c>
      <c r="AT6" s="79">
        <f>VLOOKUP($AP6,Tabelle1!$B$4:$W$144,4,0)*$AR6</f>
        <v>0</v>
      </c>
      <c r="AU6" s="80">
        <f>VLOOKUP($AP6,Tabelle1!$B$4:$W$144,5,0)*$AR6</f>
        <v>0</v>
      </c>
      <c r="AV6" s="80">
        <f>VLOOKUP($AP6,Tabelle1!$B$4:$W$144,6,0)*$AR6</f>
        <v>0</v>
      </c>
      <c r="AW6" s="81">
        <f>VLOOKUP($AP6,Tabelle1!$B$4:$W$144,7,0)*$AR6</f>
        <v>0</v>
      </c>
      <c r="AX6" s="87">
        <f t="shared" si="0"/>
        <v>0</v>
      </c>
      <c r="AY6" s="83">
        <f>VLOOKUP($AP6,Tabelle1!$B$4:$W$144,8,0)*$AQ6</f>
        <v>0</v>
      </c>
      <c r="AZ6" s="84">
        <f>VLOOKUP($AP6,Tabelle1!$B$4:$W$144,9,0)*$AQ6</f>
        <v>0</v>
      </c>
      <c r="BA6" s="85">
        <f>VLOOKUP($AP6,Tabelle1!$B$4:$W$144,10,0)*$AQ6</f>
        <v>0</v>
      </c>
      <c r="BB6" s="86">
        <f>VLOOKUP($AP6,Tabelle1!$B$4:$W$144,11,0)*$AQ6</f>
        <v>0</v>
      </c>
      <c r="BC6" s="116">
        <f>VLOOKUP($AP6,Tabelle1!$B$4:$W$144,12,0)*$AQ6</f>
        <v>0</v>
      </c>
      <c r="BD6" s="79">
        <f>VLOOKUP($AP6,Tabelle1!$B$4:$W$144,13,0)*$AR6</f>
        <v>0</v>
      </c>
      <c r="BE6" s="80">
        <f>VLOOKUP($AP6,Tabelle1!$B$4:$W$144,14,0)*$AR6</f>
        <v>0</v>
      </c>
      <c r="BF6" s="80">
        <f>VLOOKUP($AP6,Tabelle1!$B$4:$W$144,15,0)*$AR6</f>
        <v>0</v>
      </c>
      <c r="BG6" s="80">
        <f>VLOOKUP($AP6,Tabelle1!$B$4:$W$144,16,0)*$AR6</f>
        <v>0</v>
      </c>
      <c r="BH6" s="81">
        <f>VLOOKUP($AP6,Tabelle1!$B$4:$W$144,17,0)*$AR6</f>
        <v>0</v>
      </c>
      <c r="BI6" s="87">
        <f t="shared" si="1"/>
        <v>0</v>
      </c>
      <c r="BJ6" s="88">
        <f>VLOOKUP($AP6,Tabelle1!$B$4:$W$144,18,0)*$AR6</f>
        <v>0</v>
      </c>
      <c r="BK6" s="15">
        <f>VLOOKUP($AP6,Tabelle1!$B$4:$W$144,19,0)*$AR6</f>
        <v>0</v>
      </c>
      <c r="BL6" s="15">
        <f>VLOOKUP($AP6,Tabelle1!$B$4:$W$144,20,0)*$AR6</f>
        <v>0</v>
      </c>
      <c r="BM6" s="15">
        <f>VLOOKUP($AP6,Tabelle1!$B$4:$W$144,21,0)*$AR6</f>
        <v>0</v>
      </c>
      <c r="BN6" s="89">
        <f>VLOOKUP($AP6,Tabelle1!$B$4:$W$144,22,0)*$AR6</f>
        <v>0</v>
      </c>
      <c r="BO6" s="90">
        <f t="shared" si="2"/>
        <v>0</v>
      </c>
      <c r="BP6" s="91">
        <f>Tiere!K6</f>
        <v>0</v>
      </c>
      <c r="BQ6" s="92">
        <f>Tiere!L6</f>
        <v>0</v>
      </c>
      <c r="BR6" s="91">
        <f>Tiere!M6</f>
        <v>0</v>
      </c>
      <c r="BS6" s="77">
        <f>Tiere!N6</f>
        <v>0</v>
      </c>
      <c r="BT6" s="117">
        <f t="shared" si="3"/>
        <v>0</v>
      </c>
      <c r="BU6" s="117">
        <f t="shared" si="4"/>
        <v>0</v>
      </c>
      <c r="BV6" s="78">
        <f t="shared" si="5"/>
        <v>0</v>
      </c>
      <c r="BW6" s="79">
        <f t="shared" si="6"/>
        <v>0</v>
      </c>
      <c r="BX6" s="80">
        <f t="shared" si="7"/>
        <v>0</v>
      </c>
      <c r="BY6" s="80">
        <f t="shared" si="8"/>
        <v>0</v>
      </c>
      <c r="BZ6" s="94">
        <f t="shared" si="9"/>
        <v>0</v>
      </c>
      <c r="CA6" s="87">
        <f t="shared" si="10"/>
        <v>0</v>
      </c>
      <c r="CB6" s="86">
        <f t="shared" si="11"/>
        <v>0</v>
      </c>
      <c r="CC6" s="86">
        <f t="shared" si="12"/>
        <v>0</v>
      </c>
      <c r="CD6" s="86">
        <f t="shared" si="13"/>
        <v>0</v>
      </c>
      <c r="CE6" s="86">
        <f t="shared" si="14"/>
        <v>0</v>
      </c>
      <c r="CF6" s="95">
        <f t="shared" si="15"/>
        <v>0</v>
      </c>
      <c r="CG6" s="87">
        <f t="shared" si="16"/>
        <v>0</v>
      </c>
      <c r="CH6" s="78">
        <f t="shared" si="17"/>
        <v>0</v>
      </c>
      <c r="CI6" s="79">
        <f t="shared" si="18"/>
        <v>0</v>
      </c>
      <c r="CJ6" s="80">
        <f t="shared" si="19"/>
        <v>0</v>
      </c>
      <c r="CK6" s="80">
        <f t="shared" si="20"/>
        <v>0</v>
      </c>
      <c r="CL6" s="94">
        <f t="shared" si="21"/>
        <v>0</v>
      </c>
      <c r="CM6" s="78">
        <f t="shared" si="22"/>
        <v>0</v>
      </c>
      <c r="CN6" s="79">
        <f t="shared" si="23"/>
        <v>0</v>
      </c>
      <c r="CO6" s="80">
        <f t="shared" si="24"/>
        <v>0</v>
      </c>
      <c r="CP6" s="80">
        <f t="shared" si="25"/>
        <v>0</v>
      </c>
      <c r="CQ6" s="94">
        <f t="shared" si="26"/>
        <v>0</v>
      </c>
      <c r="CR6" s="78">
        <f t="shared" si="27"/>
        <v>0</v>
      </c>
      <c r="CS6" s="79">
        <f t="shared" si="28"/>
        <v>0</v>
      </c>
      <c r="CT6" s="80">
        <f t="shared" si="29"/>
        <v>0</v>
      </c>
      <c r="CU6" s="80">
        <f t="shared" si="30"/>
        <v>0</v>
      </c>
      <c r="CV6" s="94">
        <f t="shared" si="31"/>
        <v>0</v>
      </c>
      <c r="CW6" s="78">
        <f t="shared" si="32"/>
        <v>0</v>
      </c>
      <c r="CX6" s="79">
        <f t="shared" si="33"/>
        <v>0</v>
      </c>
      <c r="CY6" s="80">
        <f t="shared" si="34"/>
        <v>0</v>
      </c>
      <c r="CZ6" s="80">
        <f t="shared" si="35"/>
        <v>0</v>
      </c>
      <c r="DA6" s="94">
        <f t="shared" si="36"/>
        <v>0</v>
      </c>
      <c r="DB6" s="96">
        <f>VLOOKUP($AP6,Tabelle1!$B$4:$W$144,11,0)*$BR6</f>
        <v>0</v>
      </c>
      <c r="DC6" s="97">
        <f t="shared" si="37"/>
        <v>0</v>
      </c>
      <c r="DD6" s="98">
        <f>VLOOKUP($AP6,Tabelle1!$B$4:$AJ$144,35,0)</f>
        <v>0</v>
      </c>
      <c r="DE6" s="99">
        <f t="shared" si="38"/>
        <v>0</v>
      </c>
      <c r="DF6" s="100">
        <f>VLOOKUP($AP6,Tabelle1!$B$4:$AK$144,36,0)</f>
        <v>0</v>
      </c>
      <c r="DG6" s="101">
        <f t="shared" si="39"/>
        <v>0</v>
      </c>
      <c r="DH6">
        <f t="shared" si="40"/>
        <v>0</v>
      </c>
    </row>
    <row r="7" spans="1:112" ht="15" customHeight="1">
      <c r="A7" s="1">
        <v>3</v>
      </c>
      <c r="B7" s="102" t="str">
        <f t="shared" si="41"/>
        <v>3 - andere Kälber und Jungrinder unter 1/2 Jahr - Mist/Jauche</v>
      </c>
      <c r="C7" s="103" t="s">
        <v>63</v>
      </c>
      <c r="D7" s="104"/>
      <c r="E7" s="105"/>
      <c r="F7" s="105"/>
      <c r="G7" s="105">
        <v>5.2</v>
      </c>
      <c r="H7" s="106">
        <v>5.2</v>
      </c>
      <c r="I7" s="107"/>
      <c r="J7" s="15">
        <v>0.7</v>
      </c>
      <c r="K7" s="108">
        <v>0.8</v>
      </c>
      <c r="L7" s="107">
        <v>0.4</v>
      </c>
      <c r="M7" s="108">
        <v>1</v>
      </c>
      <c r="N7" s="107"/>
      <c r="O7" s="15"/>
      <c r="P7" s="15"/>
      <c r="Q7" s="84">
        <v>0.35499999999999998</v>
      </c>
      <c r="R7" s="109">
        <v>6.7450000000000001</v>
      </c>
      <c r="S7" s="95"/>
      <c r="T7" s="84"/>
      <c r="U7" s="84"/>
      <c r="V7" s="84">
        <v>3.597</v>
      </c>
      <c r="W7" s="109">
        <v>7.3029999999999999</v>
      </c>
      <c r="X7" s="118"/>
      <c r="Y7" s="119"/>
      <c r="Z7" s="119"/>
      <c r="AA7" s="120"/>
      <c r="AB7" s="119"/>
      <c r="AC7" s="119"/>
      <c r="AD7" s="119"/>
      <c r="AE7" s="120"/>
      <c r="AF7" s="107"/>
      <c r="AG7" s="15">
        <v>4.5</v>
      </c>
      <c r="AH7" s="108">
        <v>4.7</v>
      </c>
      <c r="AI7" s="113" t="s">
        <v>63</v>
      </c>
      <c r="AJ7" s="114">
        <v>34</v>
      </c>
      <c r="AK7" s="115">
        <v>12.8</v>
      </c>
      <c r="AL7" s="100">
        <f t="shared" si="42"/>
        <v>13.28125</v>
      </c>
      <c r="AM7" s="8"/>
      <c r="AN7"/>
      <c r="AP7" s="75">
        <f>Tiere!B7</f>
        <v>0</v>
      </c>
      <c r="AQ7" s="76">
        <f>IF(AP7=0,0,Tiere!I7)</f>
        <v>0</v>
      </c>
      <c r="AR7" s="77">
        <f>VLOOKUP($AP7,Tabelle1!$B$4:$AE$144,12,0)*$AQ7</f>
        <v>0</v>
      </c>
      <c r="AS7" s="78">
        <f>VLOOKUP($AP7,Tabelle1!$B$4:$W$144,3,0)*$AR7</f>
        <v>0</v>
      </c>
      <c r="AT7" s="79">
        <f>VLOOKUP($AP7,Tabelle1!$B$4:$W$144,4,0)*$AR7</f>
        <v>0</v>
      </c>
      <c r="AU7" s="80">
        <f>VLOOKUP($AP7,Tabelle1!$B$4:$W$144,5,0)*$AR7</f>
        <v>0</v>
      </c>
      <c r="AV7" s="80">
        <f>VLOOKUP($AP7,Tabelle1!$B$4:$W$144,6,0)*$AR7</f>
        <v>0</v>
      </c>
      <c r="AW7" s="81">
        <f>VLOOKUP($AP7,Tabelle1!$B$4:$W$144,7,0)*$AR7</f>
        <v>0</v>
      </c>
      <c r="AX7" s="87">
        <f t="shared" si="0"/>
        <v>0</v>
      </c>
      <c r="AY7" s="83">
        <f>VLOOKUP($AP7,Tabelle1!$B$4:$W$144,8,0)*$AQ7</f>
        <v>0</v>
      </c>
      <c r="AZ7" s="84">
        <f>VLOOKUP($AP7,Tabelle1!$B$4:$W$144,9,0)*$AQ7</f>
        <v>0</v>
      </c>
      <c r="BA7" s="85">
        <f>VLOOKUP($AP7,Tabelle1!$B$4:$W$144,10,0)*$AQ7</f>
        <v>0</v>
      </c>
      <c r="BB7" s="86">
        <f>VLOOKUP($AP7,Tabelle1!$B$4:$W$144,11,0)*$AQ7</f>
        <v>0</v>
      </c>
      <c r="BC7" s="116">
        <f>VLOOKUP($AP7,Tabelle1!$B$4:$W$144,12,0)*$AQ7</f>
        <v>0</v>
      </c>
      <c r="BD7" s="79">
        <f>VLOOKUP($AP7,Tabelle1!$B$4:$W$144,13,0)*$AR7</f>
        <v>0</v>
      </c>
      <c r="BE7" s="80">
        <f>VLOOKUP($AP7,Tabelle1!$B$4:$W$144,14,0)*$AR7</f>
        <v>0</v>
      </c>
      <c r="BF7" s="80">
        <f>VLOOKUP($AP7,Tabelle1!$B$4:$W$144,15,0)*$AR7</f>
        <v>0</v>
      </c>
      <c r="BG7" s="80">
        <f>VLOOKUP($AP7,Tabelle1!$B$4:$W$144,16,0)*$AR7</f>
        <v>0</v>
      </c>
      <c r="BH7" s="81">
        <f>VLOOKUP($AP7,Tabelle1!$B$4:$W$144,17,0)*$AR7</f>
        <v>0</v>
      </c>
      <c r="BI7" s="87">
        <f t="shared" si="1"/>
        <v>0</v>
      </c>
      <c r="BJ7" s="88">
        <f>VLOOKUP($AP7,Tabelle1!$B$4:$W$144,18,0)*$AR7</f>
        <v>0</v>
      </c>
      <c r="BK7" s="15">
        <f>VLOOKUP($AP7,Tabelle1!$B$4:$W$144,19,0)*$AR7</f>
        <v>0</v>
      </c>
      <c r="BL7" s="15">
        <f>VLOOKUP($AP7,Tabelle1!$B$4:$W$144,20,0)*$AR7</f>
        <v>0</v>
      </c>
      <c r="BM7" s="15">
        <f>VLOOKUP($AP7,Tabelle1!$B$4:$W$144,21,0)*$AR7</f>
        <v>0</v>
      </c>
      <c r="BN7" s="89">
        <f>VLOOKUP($AP7,Tabelle1!$B$4:$W$144,22,0)*$AR7</f>
        <v>0</v>
      </c>
      <c r="BO7" s="90">
        <f t="shared" si="2"/>
        <v>0</v>
      </c>
      <c r="BP7" s="91">
        <f>Tiere!K7</f>
        <v>0</v>
      </c>
      <c r="BQ7" s="92">
        <f>Tiere!L7</f>
        <v>0</v>
      </c>
      <c r="BR7" s="91">
        <f>Tiere!M7</f>
        <v>0</v>
      </c>
      <c r="BS7" s="77">
        <f>Tiere!N7</f>
        <v>0</v>
      </c>
      <c r="BT7" s="117">
        <f t="shared" si="3"/>
        <v>0</v>
      </c>
      <c r="BU7" s="117">
        <f t="shared" si="4"/>
        <v>0</v>
      </c>
      <c r="BV7" s="78">
        <f t="shared" si="5"/>
        <v>0</v>
      </c>
      <c r="BW7" s="79">
        <f t="shared" si="6"/>
        <v>0</v>
      </c>
      <c r="BX7" s="80">
        <f t="shared" si="7"/>
        <v>0</v>
      </c>
      <c r="BY7" s="80">
        <f t="shared" si="8"/>
        <v>0</v>
      </c>
      <c r="BZ7" s="94">
        <f t="shared" si="9"/>
        <v>0</v>
      </c>
      <c r="CA7" s="87">
        <f t="shared" si="10"/>
        <v>0</v>
      </c>
      <c r="CB7" s="86">
        <f t="shared" si="11"/>
        <v>0</v>
      </c>
      <c r="CC7" s="86">
        <f t="shared" si="12"/>
        <v>0</v>
      </c>
      <c r="CD7" s="86">
        <f t="shared" si="13"/>
        <v>0</v>
      </c>
      <c r="CE7" s="86">
        <f t="shared" si="14"/>
        <v>0</v>
      </c>
      <c r="CF7" s="95">
        <f t="shared" si="15"/>
        <v>0</v>
      </c>
      <c r="CG7" s="87">
        <f t="shared" si="16"/>
        <v>0</v>
      </c>
      <c r="CH7" s="78">
        <f t="shared" si="17"/>
        <v>0</v>
      </c>
      <c r="CI7" s="79">
        <f t="shared" si="18"/>
        <v>0</v>
      </c>
      <c r="CJ7" s="80">
        <f t="shared" si="19"/>
        <v>0</v>
      </c>
      <c r="CK7" s="80">
        <f t="shared" si="20"/>
        <v>0</v>
      </c>
      <c r="CL7" s="94">
        <f t="shared" si="21"/>
        <v>0</v>
      </c>
      <c r="CM7" s="78">
        <f t="shared" si="22"/>
        <v>0</v>
      </c>
      <c r="CN7" s="79">
        <f t="shared" si="23"/>
        <v>0</v>
      </c>
      <c r="CO7" s="80">
        <f t="shared" si="24"/>
        <v>0</v>
      </c>
      <c r="CP7" s="80">
        <f t="shared" si="25"/>
        <v>0</v>
      </c>
      <c r="CQ7" s="94">
        <f t="shared" si="26"/>
        <v>0</v>
      </c>
      <c r="CR7" s="78">
        <f t="shared" si="27"/>
        <v>0</v>
      </c>
      <c r="CS7" s="79">
        <f t="shared" si="28"/>
        <v>0</v>
      </c>
      <c r="CT7" s="80">
        <f t="shared" si="29"/>
        <v>0</v>
      </c>
      <c r="CU7" s="80">
        <f t="shared" si="30"/>
        <v>0</v>
      </c>
      <c r="CV7" s="94">
        <f t="shared" si="31"/>
        <v>0</v>
      </c>
      <c r="CW7" s="78">
        <f t="shared" si="32"/>
        <v>0</v>
      </c>
      <c r="CX7" s="79">
        <f t="shared" si="33"/>
        <v>0</v>
      </c>
      <c r="CY7" s="80">
        <f t="shared" si="34"/>
        <v>0</v>
      </c>
      <c r="CZ7" s="80">
        <f t="shared" si="35"/>
        <v>0</v>
      </c>
      <c r="DA7" s="94">
        <f t="shared" si="36"/>
        <v>0</v>
      </c>
      <c r="DB7" s="96">
        <f>VLOOKUP($AP7,Tabelle1!$B$4:$W$144,11,0)*$BR7</f>
        <v>0</v>
      </c>
      <c r="DC7" s="97">
        <f t="shared" si="37"/>
        <v>0</v>
      </c>
      <c r="DD7" s="98">
        <f>VLOOKUP($AP7,Tabelle1!$B$4:$AJ$144,35,0)</f>
        <v>0</v>
      </c>
      <c r="DE7" s="99">
        <f t="shared" si="38"/>
        <v>0</v>
      </c>
      <c r="DF7" s="100">
        <f>VLOOKUP($AP7,Tabelle1!$B$4:$AK$144,36,0)</f>
        <v>0</v>
      </c>
      <c r="DG7" s="101">
        <f t="shared" si="39"/>
        <v>0</v>
      </c>
      <c r="DH7">
        <f t="shared" si="40"/>
        <v>0</v>
      </c>
    </row>
    <row r="8" spans="1:112" ht="15">
      <c r="A8" s="1">
        <v>4</v>
      </c>
      <c r="B8" s="102" t="str">
        <f t="shared" si="41"/>
        <v>4 - andere Kälber und Jungrinder unter 1/2 Jahr - Tiefstallmist</v>
      </c>
      <c r="C8" s="103" t="s">
        <v>64</v>
      </c>
      <c r="D8" s="104"/>
      <c r="E8" s="105"/>
      <c r="F8" s="105"/>
      <c r="G8" s="105"/>
      <c r="H8" s="106">
        <v>10.4</v>
      </c>
      <c r="I8" s="107"/>
      <c r="J8" s="15"/>
      <c r="K8" s="108">
        <v>1.7000000000000002</v>
      </c>
      <c r="L8" s="107">
        <v>0.4</v>
      </c>
      <c r="M8" s="108">
        <v>1</v>
      </c>
      <c r="N8" s="107"/>
      <c r="O8" s="15"/>
      <c r="P8" s="15"/>
      <c r="Q8" s="84"/>
      <c r="R8" s="109">
        <v>7.1</v>
      </c>
      <c r="S8" s="95"/>
      <c r="T8" s="84"/>
      <c r="U8" s="84"/>
      <c r="V8" s="84"/>
      <c r="W8" s="109">
        <v>10.9</v>
      </c>
      <c r="X8" s="118"/>
      <c r="Y8" s="119"/>
      <c r="Z8" s="119"/>
      <c r="AA8" s="120"/>
      <c r="AB8" s="119"/>
      <c r="AC8" s="119"/>
      <c r="AD8" s="119"/>
      <c r="AE8" s="120"/>
      <c r="AF8" s="107"/>
      <c r="AG8" s="15"/>
      <c r="AH8" s="108">
        <v>9.5</v>
      </c>
      <c r="AI8" s="113" t="s">
        <v>64</v>
      </c>
      <c r="AJ8" s="114">
        <v>34</v>
      </c>
      <c r="AK8" s="115">
        <v>12.8</v>
      </c>
      <c r="AL8" s="100">
        <f t="shared" si="42"/>
        <v>13.28125</v>
      </c>
      <c r="AM8" s="121" t="s">
        <v>65</v>
      </c>
      <c r="AN8" s="122" t="s">
        <v>66</v>
      </c>
      <c r="AO8" s="102"/>
      <c r="AP8" s="75">
        <f>Tiere!B8</f>
        <v>0</v>
      </c>
      <c r="AQ8" s="76">
        <f>IF(AP8=0,0,Tiere!I8)</f>
        <v>0</v>
      </c>
      <c r="AR8" s="77">
        <f>VLOOKUP($AP8,Tabelle1!$B$4:$AE$144,12,0)*$AQ8</f>
        <v>0</v>
      </c>
      <c r="AS8" s="78">
        <f>VLOOKUP($AP8,Tabelle1!$B$4:$W$144,3,0)*$AR8</f>
        <v>0</v>
      </c>
      <c r="AT8" s="79">
        <f>VLOOKUP($AP8,Tabelle1!$B$4:$W$144,4,0)*$AR8</f>
        <v>0</v>
      </c>
      <c r="AU8" s="80">
        <f>VLOOKUP($AP8,Tabelle1!$B$4:$W$144,5,0)*$AR8</f>
        <v>0</v>
      </c>
      <c r="AV8" s="80">
        <f>VLOOKUP($AP8,Tabelle1!$B$4:$W$144,6,0)*$AR8</f>
        <v>0</v>
      </c>
      <c r="AW8" s="81">
        <f>VLOOKUP($AP8,Tabelle1!$B$4:$W$144,7,0)*$AR8</f>
        <v>0</v>
      </c>
      <c r="AX8" s="87">
        <f t="shared" si="0"/>
        <v>0</v>
      </c>
      <c r="AY8" s="83">
        <f>VLOOKUP($AP8,Tabelle1!$B$4:$W$144,8,0)*$AQ8</f>
        <v>0</v>
      </c>
      <c r="AZ8" s="84">
        <f>VLOOKUP($AP8,Tabelle1!$B$4:$W$144,9,0)*$AQ8</f>
        <v>0</v>
      </c>
      <c r="BA8" s="85">
        <f>VLOOKUP($AP8,Tabelle1!$B$4:$W$144,10,0)*$AQ8</f>
        <v>0</v>
      </c>
      <c r="BB8" s="86">
        <f>VLOOKUP($AP8,Tabelle1!$B$4:$W$144,11,0)*$AQ8</f>
        <v>0</v>
      </c>
      <c r="BC8" s="116">
        <f>VLOOKUP($AP8,Tabelle1!$B$4:$W$144,12,0)*$AQ8</f>
        <v>0</v>
      </c>
      <c r="BD8" s="79">
        <f>VLOOKUP($AP8,Tabelle1!$B$4:$W$144,13,0)*$AR8</f>
        <v>0</v>
      </c>
      <c r="BE8" s="80">
        <f>VLOOKUP($AP8,Tabelle1!$B$4:$W$144,14,0)*$AR8</f>
        <v>0</v>
      </c>
      <c r="BF8" s="80">
        <f>VLOOKUP($AP8,Tabelle1!$B$4:$W$144,15,0)*$AR8</f>
        <v>0</v>
      </c>
      <c r="BG8" s="80">
        <f>VLOOKUP($AP8,Tabelle1!$B$4:$W$144,16,0)*$AR8</f>
        <v>0</v>
      </c>
      <c r="BH8" s="81">
        <f>VLOOKUP($AP8,Tabelle1!$B$4:$W$144,17,0)*$AR8</f>
        <v>0</v>
      </c>
      <c r="BI8" s="87">
        <f t="shared" si="1"/>
        <v>0</v>
      </c>
      <c r="BJ8" s="88">
        <f>VLOOKUP($AP8,Tabelle1!$B$4:$W$144,18,0)*$AR8</f>
        <v>0</v>
      </c>
      <c r="BK8" s="15">
        <f>VLOOKUP($AP8,Tabelle1!$B$4:$W$144,19,0)*$AR8</f>
        <v>0</v>
      </c>
      <c r="BL8" s="15">
        <f>VLOOKUP($AP8,Tabelle1!$B$4:$W$144,20,0)*$AR8</f>
        <v>0</v>
      </c>
      <c r="BM8" s="15">
        <f>VLOOKUP($AP8,Tabelle1!$B$4:$W$144,21,0)*$AR8</f>
        <v>0</v>
      </c>
      <c r="BN8" s="89">
        <f>VLOOKUP($AP8,Tabelle1!$B$4:$W$144,22,0)*$AR8</f>
        <v>0</v>
      </c>
      <c r="BO8" s="90">
        <f t="shared" si="2"/>
        <v>0</v>
      </c>
      <c r="BP8" s="91">
        <f>Tiere!K8</f>
        <v>0</v>
      </c>
      <c r="BQ8" s="92">
        <f>Tiere!L8</f>
        <v>0</v>
      </c>
      <c r="BR8" s="91">
        <f>Tiere!M8</f>
        <v>0</v>
      </c>
      <c r="BS8" s="77">
        <f>Tiere!N8</f>
        <v>0</v>
      </c>
      <c r="BT8" s="117">
        <f t="shared" si="3"/>
        <v>0</v>
      </c>
      <c r="BU8" s="117">
        <f t="shared" si="4"/>
        <v>0</v>
      </c>
      <c r="BV8" s="78">
        <f t="shared" si="5"/>
        <v>0</v>
      </c>
      <c r="BW8" s="79">
        <f t="shared" si="6"/>
        <v>0</v>
      </c>
      <c r="BX8" s="80">
        <f t="shared" si="7"/>
        <v>0</v>
      </c>
      <c r="BY8" s="80">
        <f t="shared" si="8"/>
        <v>0</v>
      </c>
      <c r="BZ8" s="94">
        <f t="shared" si="9"/>
        <v>0</v>
      </c>
      <c r="CA8" s="87">
        <f t="shared" si="10"/>
        <v>0</v>
      </c>
      <c r="CB8" s="86">
        <f t="shared" si="11"/>
        <v>0</v>
      </c>
      <c r="CC8" s="86">
        <f t="shared" si="12"/>
        <v>0</v>
      </c>
      <c r="CD8" s="86">
        <f t="shared" si="13"/>
        <v>0</v>
      </c>
      <c r="CE8" s="86">
        <f t="shared" si="14"/>
        <v>0</v>
      </c>
      <c r="CF8" s="95">
        <f t="shared" si="15"/>
        <v>0</v>
      </c>
      <c r="CG8" s="87">
        <f t="shared" si="16"/>
        <v>0</v>
      </c>
      <c r="CH8" s="78">
        <f t="shared" si="17"/>
        <v>0</v>
      </c>
      <c r="CI8" s="79">
        <f t="shared" si="18"/>
        <v>0</v>
      </c>
      <c r="CJ8" s="80">
        <f t="shared" si="19"/>
        <v>0</v>
      </c>
      <c r="CK8" s="80">
        <f t="shared" si="20"/>
        <v>0</v>
      </c>
      <c r="CL8" s="94">
        <f t="shared" si="21"/>
        <v>0</v>
      </c>
      <c r="CM8" s="78">
        <f t="shared" si="22"/>
        <v>0</v>
      </c>
      <c r="CN8" s="79">
        <f t="shared" si="23"/>
        <v>0</v>
      </c>
      <c r="CO8" s="80">
        <f t="shared" si="24"/>
        <v>0</v>
      </c>
      <c r="CP8" s="80">
        <f t="shared" si="25"/>
        <v>0</v>
      </c>
      <c r="CQ8" s="94">
        <f t="shared" si="26"/>
        <v>0</v>
      </c>
      <c r="CR8" s="78">
        <f t="shared" si="27"/>
        <v>0</v>
      </c>
      <c r="CS8" s="79">
        <f t="shared" si="28"/>
        <v>0</v>
      </c>
      <c r="CT8" s="80">
        <f t="shared" si="29"/>
        <v>0</v>
      </c>
      <c r="CU8" s="80">
        <f t="shared" si="30"/>
        <v>0</v>
      </c>
      <c r="CV8" s="94">
        <f t="shared" si="31"/>
        <v>0</v>
      </c>
      <c r="CW8" s="78">
        <f t="shared" si="32"/>
        <v>0</v>
      </c>
      <c r="CX8" s="79">
        <f t="shared" si="33"/>
        <v>0</v>
      </c>
      <c r="CY8" s="80">
        <f t="shared" si="34"/>
        <v>0</v>
      </c>
      <c r="CZ8" s="80">
        <f t="shared" si="35"/>
        <v>0</v>
      </c>
      <c r="DA8" s="94">
        <f t="shared" si="36"/>
        <v>0</v>
      </c>
      <c r="DB8" s="96">
        <f>VLOOKUP($AP8,Tabelle1!$B$4:$W$144,11,0)*$BR8</f>
        <v>0</v>
      </c>
      <c r="DC8" s="97">
        <f t="shared" si="37"/>
        <v>0</v>
      </c>
      <c r="DD8" s="98">
        <f>VLOOKUP($AP8,Tabelle1!$B$4:$AJ$144,35,0)</f>
        <v>0</v>
      </c>
      <c r="DE8" s="99">
        <f t="shared" si="38"/>
        <v>0</v>
      </c>
      <c r="DF8" s="100">
        <f>VLOOKUP($AP8,Tabelle1!$B$4:$AK$144,36,0)</f>
        <v>0</v>
      </c>
      <c r="DG8" s="101">
        <f t="shared" si="39"/>
        <v>0</v>
      </c>
      <c r="DH8">
        <f t="shared" si="40"/>
        <v>0</v>
      </c>
    </row>
    <row r="9" spans="1:112" ht="14.25">
      <c r="A9" s="1">
        <v>5</v>
      </c>
      <c r="B9" s="102" t="str">
        <f t="shared" si="41"/>
        <v>5 - Jungvieh 1/2 bis 1 Jahr - Gülle</v>
      </c>
      <c r="C9" s="103" t="s">
        <v>67</v>
      </c>
      <c r="D9" s="104">
        <v>34.4</v>
      </c>
      <c r="E9" s="105"/>
      <c r="F9" s="105"/>
      <c r="G9" s="105"/>
      <c r="H9" s="106"/>
      <c r="I9" s="107">
        <v>3.4</v>
      </c>
      <c r="J9" s="15"/>
      <c r="K9" s="108"/>
      <c r="L9" s="107">
        <v>0.60000000000000009</v>
      </c>
      <c r="M9" s="108">
        <v>1</v>
      </c>
      <c r="N9" s="107">
        <v>13.5</v>
      </c>
      <c r="O9" s="15"/>
      <c r="P9" s="15"/>
      <c r="Q9" s="84"/>
      <c r="R9" s="109"/>
      <c r="S9" s="95">
        <v>43.1</v>
      </c>
      <c r="T9" s="84"/>
      <c r="U9" s="84"/>
      <c r="V9" s="84"/>
      <c r="W9" s="109"/>
      <c r="X9" s="118"/>
      <c r="Y9" s="119"/>
      <c r="Z9" s="119"/>
      <c r="AA9" s="120"/>
      <c r="AB9" s="119"/>
      <c r="AC9" s="119"/>
      <c r="AD9" s="119"/>
      <c r="AE9" s="120"/>
      <c r="AF9" s="107">
        <v>29.9</v>
      </c>
      <c r="AG9" s="15"/>
      <c r="AH9" s="108"/>
      <c r="AI9" s="113" t="s">
        <v>67</v>
      </c>
      <c r="AJ9" s="114">
        <v>34</v>
      </c>
      <c r="AK9" s="115">
        <v>42.5</v>
      </c>
      <c r="AL9" s="100">
        <f t="shared" si="42"/>
        <v>4</v>
      </c>
      <c r="AM9" s="121" t="s">
        <v>68</v>
      </c>
      <c r="AN9" s="123"/>
      <c r="AO9" s="124"/>
      <c r="AP9" s="75">
        <f>Tiere!B9</f>
        <v>0</v>
      </c>
      <c r="AQ9" s="76">
        <f>IF(AP9=0,0,Tiere!I9)</f>
        <v>0</v>
      </c>
      <c r="AR9" s="77">
        <f>VLOOKUP($AP9,Tabelle1!$B$4:$AE$144,12,0)*$AQ9</f>
        <v>0</v>
      </c>
      <c r="AS9" s="78">
        <f>VLOOKUP($AP9,Tabelle1!$B$4:$W$144,3,0)*$AR9</f>
        <v>0</v>
      </c>
      <c r="AT9" s="79">
        <f>VLOOKUP($AP9,Tabelle1!$B$4:$W$144,4,0)*$AR9</f>
        <v>0</v>
      </c>
      <c r="AU9" s="80">
        <f>VLOOKUP($AP9,Tabelle1!$B$4:$W$144,5,0)*$AR9</f>
        <v>0</v>
      </c>
      <c r="AV9" s="80">
        <f>VLOOKUP($AP9,Tabelle1!$B$4:$W$144,6,0)*$AR9</f>
        <v>0</v>
      </c>
      <c r="AW9" s="81">
        <f>VLOOKUP($AP9,Tabelle1!$B$4:$W$144,7,0)*$AR9</f>
        <v>0</v>
      </c>
      <c r="AX9" s="87">
        <f t="shared" si="0"/>
        <v>0</v>
      </c>
      <c r="AY9" s="83">
        <f>VLOOKUP($AP9,Tabelle1!$B$4:$W$144,8,0)*$AQ9</f>
        <v>0</v>
      </c>
      <c r="AZ9" s="84">
        <f>VLOOKUP($AP9,Tabelle1!$B$4:$W$144,9,0)*$AQ9</f>
        <v>0</v>
      </c>
      <c r="BA9" s="85">
        <f>VLOOKUP($AP9,Tabelle1!$B$4:$W$144,10,0)*$AQ9</f>
        <v>0</v>
      </c>
      <c r="BB9" s="86">
        <f>VLOOKUP($AP9,Tabelle1!$B$4:$W$144,11,0)*$AQ9</f>
        <v>0</v>
      </c>
      <c r="BC9" s="116">
        <f>VLOOKUP($AP9,Tabelle1!$B$4:$W$144,12,0)*$AQ9</f>
        <v>0</v>
      </c>
      <c r="BD9" s="79">
        <f>VLOOKUP($AP9,Tabelle1!$B$4:$W$144,13,0)*$AR9</f>
        <v>0</v>
      </c>
      <c r="BE9" s="80">
        <f>VLOOKUP($AP9,Tabelle1!$B$4:$W$144,14,0)*$AR9</f>
        <v>0</v>
      </c>
      <c r="BF9" s="80">
        <f>VLOOKUP($AP9,Tabelle1!$B$4:$W$144,15,0)*$AR9</f>
        <v>0</v>
      </c>
      <c r="BG9" s="80">
        <f>VLOOKUP($AP9,Tabelle1!$B$4:$W$144,16,0)*$AR9</f>
        <v>0</v>
      </c>
      <c r="BH9" s="81">
        <f>VLOOKUP($AP9,Tabelle1!$B$4:$W$144,17,0)*$AR9</f>
        <v>0</v>
      </c>
      <c r="BI9" s="87">
        <f t="shared" si="1"/>
        <v>0</v>
      </c>
      <c r="BJ9" s="88">
        <f>VLOOKUP($AP9,Tabelle1!$B$4:$W$144,18,0)*$AR9</f>
        <v>0</v>
      </c>
      <c r="BK9" s="15">
        <f>VLOOKUP($AP9,Tabelle1!$B$4:$W$144,19,0)*$AR9</f>
        <v>0</v>
      </c>
      <c r="BL9" s="15">
        <f>VLOOKUP($AP9,Tabelle1!$B$4:$W$144,20,0)*$AR9</f>
        <v>0</v>
      </c>
      <c r="BM9" s="15">
        <f>VLOOKUP($AP9,Tabelle1!$B$4:$W$144,21,0)*$AR9</f>
        <v>0</v>
      </c>
      <c r="BN9" s="89">
        <f>VLOOKUP($AP9,Tabelle1!$B$4:$W$144,22,0)*$AR9</f>
        <v>0</v>
      </c>
      <c r="BO9" s="90">
        <f t="shared" si="2"/>
        <v>0</v>
      </c>
      <c r="BP9" s="91">
        <f>Tiere!K9</f>
        <v>0</v>
      </c>
      <c r="BQ9" s="92">
        <f>Tiere!L9</f>
        <v>0</v>
      </c>
      <c r="BR9" s="91">
        <f>Tiere!M9</f>
        <v>0</v>
      </c>
      <c r="BS9" s="77">
        <f>Tiere!N9</f>
        <v>0</v>
      </c>
      <c r="BT9" s="117">
        <f t="shared" si="3"/>
        <v>0</v>
      </c>
      <c r="BU9" s="117">
        <f t="shared" si="4"/>
        <v>0</v>
      </c>
      <c r="BV9" s="78">
        <f t="shared" si="5"/>
        <v>0</v>
      </c>
      <c r="BW9" s="79">
        <f t="shared" si="6"/>
        <v>0</v>
      </c>
      <c r="BX9" s="80">
        <f t="shared" si="7"/>
        <v>0</v>
      </c>
      <c r="BY9" s="80">
        <f t="shared" si="8"/>
        <v>0</v>
      </c>
      <c r="BZ9" s="94">
        <f t="shared" si="9"/>
        <v>0</v>
      </c>
      <c r="CA9" s="87">
        <f t="shared" si="10"/>
        <v>0</v>
      </c>
      <c r="CB9" s="86">
        <f t="shared" si="11"/>
        <v>0</v>
      </c>
      <c r="CC9" s="86">
        <f t="shared" si="12"/>
        <v>0</v>
      </c>
      <c r="CD9" s="86">
        <f t="shared" si="13"/>
        <v>0</v>
      </c>
      <c r="CE9" s="86">
        <f t="shared" si="14"/>
        <v>0</v>
      </c>
      <c r="CF9" s="95">
        <f t="shared" si="15"/>
        <v>0</v>
      </c>
      <c r="CG9" s="87">
        <f t="shared" si="16"/>
        <v>0</v>
      </c>
      <c r="CH9" s="78">
        <f t="shared" si="17"/>
        <v>0</v>
      </c>
      <c r="CI9" s="79">
        <f t="shared" si="18"/>
        <v>0</v>
      </c>
      <c r="CJ9" s="80">
        <f t="shared" si="19"/>
        <v>0</v>
      </c>
      <c r="CK9" s="80">
        <f t="shared" si="20"/>
        <v>0</v>
      </c>
      <c r="CL9" s="94">
        <f t="shared" si="21"/>
        <v>0</v>
      </c>
      <c r="CM9" s="78">
        <f t="shared" si="22"/>
        <v>0</v>
      </c>
      <c r="CN9" s="79">
        <f t="shared" si="23"/>
        <v>0</v>
      </c>
      <c r="CO9" s="80">
        <f t="shared" si="24"/>
        <v>0</v>
      </c>
      <c r="CP9" s="80">
        <f t="shared" si="25"/>
        <v>0</v>
      </c>
      <c r="CQ9" s="94">
        <f t="shared" si="26"/>
        <v>0</v>
      </c>
      <c r="CR9" s="78">
        <f t="shared" si="27"/>
        <v>0</v>
      </c>
      <c r="CS9" s="79">
        <f t="shared" si="28"/>
        <v>0</v>
      </c>
      <c r="CT9" s="80">
        <f t="shared" si="29"/>
        <v>0</v>
      </c>
      <c r="CU9" s="80">
        <f t="shared" si="30"/>
        <v>0</v>
      </c>
      <c r="CV9" s="94">
        <f t="shared" si="31"/>
        <v>0</v>
      </c>
      <c r="CW9" s="78">
        <f t="shared" si="32"/>
        <v>0</v>
      </c>
      <c r="CX9" s="79">
        <f t="shared" si="33"/>
        <v>0</v>
      </c>
      <c r="CY9" s="80">
        <f t="shared" si="34"/>
        <v>0</v>
      </c>
      <c r="CZ9" s="80">
        <f t="shared" si="35"/>
        <v>0</v>
      </c>
      <c r="DA9" s="94">
        <f t="shared" si="36"/>
        <v>0</v>
      </c>
      <c r="DB9" s="96">
        <f>VLOOKUP($AP9,Tabelle1!$B$4:$W$144,11,0)*$BR9</f>
        <v>0</v>
      </c>
      <c r="DC9" s="97">
        <f t="shared" si="37"/>
        <v>0</v>
      </c>
      <c r="DD9" s="98">
        <f>VLOOKUP($AP9,Tabelle1!$B$4:$AJ$144,35,0)</f>
        <v>0</v>
      </c>
      <c r="DE9" s="99">
        <f t="shared" si="38"/>
        <v>0</v>
      </c>
      <c r="DF9" s="100">
        <f>VLOOKUP($AP9,Tabelle1!$B$4:$AK$144,36,0)</f>
        <v>0</v>
      </c>
      <c r="DG9" s="101">
        <f t="shared" si="39"/>
        <v>0</v>
      </c>
      <c r="DH9">
        <f t="shared" si="40"/>
        <v>0</v>
      </c>
    </row>
    <row r="10" spans="1:112" ht="14.25">
      <c r="A10" s="1">
        <v>6</v>
      </c>
      <c r="B10" s="102" t="str">
        <f t="shared" si="41"/>
        <v>6 - Jungvieh 1/2 bis 1 Jahr - Mist/Jauche</v>
      </c>
      <c r="C10" s="103" t="s">
        <v>69</v>
      </c>
      <c r="D10" s="104"/>
      <c r="E10" s="105"/>
      <c r="F10" s="105"/>
      <c r="G10" s="105">
        <v>14.2</v>
      </c>
      <c r="H10" s="106">
        <v>14.2</v>
      </c>
      <c r="I10" s="107"/>
      <c r="J10" s="15">
        <v>1.7000000000000002</v>
      </c>
      <c r="K10" s="108">
        <v>1.8</v>
      </c>
      <c r="L10" s="107">
        <v>0.60000000000000009</v>
      </c>
      <c r="M10" s="108">
        <v>1</v>
      </c>
      <c r="N10" s="107"/>
      <c r="O10" s="15"/>
      <c r="P10" s="15"/>
      <c r="Q10" s="84">
        <v>0.67500000000000004</v>
      </c>
      <c r="R10" s="109">
        <v>12.824999999999999</v>
      </c>
      <c r="S10" s="95"/>
      <c r="T10" s="84"/>
      <c r="U10" s="84"/>
      <c r="V10" s="84">
        <v>14.223000000000001</v>
      </c>
      <c r="W10" s="109">
        <v>28.876999999999999</v>
      </c>
      <c r="X10" s="118"/>
      <c r="Y10" s="119"/>
      <c r="Z10" s="119"/>
      <c r="AA10" s="120"/>
      <c r="AB10" s="119"/>
      <c r="AC10" s="119"/>
      <c r="AD10" s="119"/>
      <c r="AE10" s="120"/>
      <c r="AF10" s="107"/>
      <c r="AG10" s="15">
        <v>12.4</v>
      </c>
      <c r="AH10" s="108">
        <v>12.9</v>
      </c>
      <c r="AI10" s="113" t="s">
        <v>69</v>
      </c>
      <c r="AJ10" s="114">
        <v>34</v>
      </c>
      <c r="AK10" s="115">
        <v>42.5</v>
      </c>
      <c r="AL10" s="100">
        <f t="shared" si="42"/>
        <v>4</v>
      </c>
      <c r="AM10" s="121" t="s">
        <v>70</v>
      </c>
      <c r="AN10" s="125"/>
      <c r="AO10" s="124"/>
      <c r="AP10" s="126">
        <f>Tiere!B10</f>
        <v>0</v>
      </c>
      <c r="AQ10" s="76">
        <f>IF(AP10=0,0,Tiere!I10)</f>
        <v>0</v>
      </c>
      <c r="AR10" s="77">
        <f>VLOOKUP($AP10,Tabelle1!$B$4:$AE$144,12,0)*$AQ10</f>
        <v>0</v>
      </c>
      <c r="AS10" s="78">
        <f>VLOOKUP($AP10,Tabelle1!$B$4:$W$144,3,0)*$AR10</f>
        <v>0</v>
      </c>
      <c r="AT10" s="79">
        <f>VLOOKUP($AP10,Tabelle1!$B$4:$W$144,4,0)*$AR10</f>
        <v>0</v>
      </c>
      <c r="AU10" s="80">
        <f>VLOOKUP($AP10,Tabelle1!$B$4:$W$144,5,0)*$AR10</f>
        <v>0</v>
      </c>
      <c r="AV10" s="80">
        <f>VLOOKUP($AP10,Tabelle1!$B$4:$W$144,6,0)*$AR10</f>
        <v>0</v>
      </c>
      <c r="AW10" s="81">
        <f>VLOOKUP($AP10,Tabelle1!$B$4:$W$144,7,0)*$AR10</f>
        <v>0</v>
      </c>
      <c r="AX10" s="87">
        <f t="shared" si="0"/>
        <v>0</v>
      </c>
      <c r="AY10" s="83">
        <f>VLOOKUP($AP10,Tabelle1!$B$4:$W$144,8,0)*$AQ10</f>
        <v>0</v>
      </c>
      <c r="AZ10" s="84">
        <f>VLOOKUP($AP10,Tabelle1!$B$4:$W$144,9,0)*$AQ10</f>
        <v>0</v>
      </c>
      <c r="BA10" s="85">
        <f>VLOOKUP($AP10,Tabelle1!$B$4:$W$144,10,0)*$AQ10</f>
        <v>0</v>
      </c>
      <c r="BB10" s="86">
        <f>VLOOKUP($AP10,Tabelle1!$B$4:$W$144,11,0)*$AQ10</f>
        <v>0</v>
      </c>
      <c r="BC10" s="116">
        <f>VLOOKUP($AP10,Tabelle1!$B$4:$W$144,12,0)*$AQ10</f>
        <v>0</v>
      </c>
      <c r="BD10" s="79">
        <f>VLOOKUP($AP10,Tabelle1!$B$4:$W$144,13,0)*$AR10</f>
        <v>0</v>
      </c>
      <c r="BE10" s="80">
        <f>VLOOKUP($AP10,Tabelle1!$B$4:$W$144,14,0)*$AR10</f>
        <v>0</v>
      </c>
      <c r="BF10" s="80">
        <f>VLOOKUP($AP10,Tabelle1!$B$4:$W$144,15,0)*$AR10</f>
        <v>0</v>
      </c>
      <c r="BG10" s="80">
        <f>VLOOKUP($AP10,Tabelle1!$B$4:$W$144,16,0)*$AR10</f>
        <v>0</v>
      </c>
      <c r="BH10" s="81">
        <f>VLOOKUP($AP10,Tabelle1!$B$4:$W$144,17,0)*$AR10</f>
        <v>0</v>
      </c>
      <c r="BI10" s="87">
        <f t="shared" si="1"/>
        <v>0</v>
      </c>
      <c r="BJ10" s="88">
        <f>VLOOKUP($AP10,Tabelle1!$B$4:$W$144,18,0)*$AR10</f>
        <v>0</v>
      </c>
      <c r="BK10" s="15">
        <f>VLOOKUP($AP10,Tabelle1!$B$4:$W$144,19,0)*$AR10</f>
        <v>0</v>
      </c>
      <c r="BL10" s="15">
        <f>VLOOKUP($AP10,Tabelle1!$B$4:$W$144,20,0)*$AR10</f>
        <v>0</v>
      </c>
      <c r="BM10" s="15">
        <f>VLOOKUP($AP10,Tabelle1!$B$4:$W$144,21,0)*$AR10</f>
        <v>0</v>
      </c>
      <c r="BN10" s="89">
        <f>VLOOKUP($AP10,Tabelle1!$B$4:$W$144,22,0)*$AR10</f>
        <v>0</v>
      </c>
      <c r="BO10" s="90">
        <f t="shared" si="2"/>
        <v>0</v>
      </c>
      <c r="BP10" s="91">
        <f>Tiere!K10</f>
        <v>0</v>
      </c>
      <c r="BQ10" s="92">
        <f>Tiere!L10</f>
        <v>0</v>
      </c>
      <c r="BR10" s="91">
        <f>Tiere!M10</f>
        <v>0</v>
      </c>
      <c r="BS10" s="77">
        <f>Tiere!N10</f>
        <v>0</v>
      </c>
      <c r="BT10" s="117">
        <f t="shared" si="3"/>
        <v>0</v>
      </c>
      <c r="BU10" s="117">
        <f t="shared" si="4"/>
        <v>0</v>
      </c>
      <c r="BV10" s="78">
        <f t="shared" si="5"/>
        <v>0</v>
      </c>
      <c r="BW10" s="79">
        <f t="shared" si="6"/>
        <v>0</v>
      </c>
      <c r="BX10" s="80">
        <f t="shared" si="7"/>
        <v>0</v>
      </c>
      <c r="BY10" s="80">
        <f t="shared" si="8"/>
        <v>0</v>
      </c>
      <c r="BZ10" s="94">
        <f t="shared" si="9"/>
        <v>0</v>
      </c>
      <c r="CA10" s="87">
        <f t="shared" si="10"/>
        <v>0</v>
      </c>
      <c r="CB10" s="86">
        <f t="shared" si="11"/>
        <v>0</v>
      </c>
      <c r="CC10" s="86">
        <f t="shared" si="12"/>
        <v>0</v>
      </c>
      <c r="CD10" s="86">
        <f t="shared" si="13"/>
        <v>0</v>
      </c>
      <c r="CE10" s="86">
        <f t="shared" si="14"/>
        <v>0</v>
      </c>
      <c r="CF10" s="95">
        <f t="shared" si="15"/>
        <v>0</v>
      </c>
      <c r="CG10" s="87">
        <f t="shared" si="16"/>
        <v>0</v>
      </c>
      <c r="CH10" s="78">
        <f t="shared" si="17"/>
        <v>0</v>
      </c>
      <c r="CI10" s="79">
        <f t="shared" si="18"/>
        <v>0</v>
      </c>
      <c r="CJ10" s="80">
        <f t="shared" si="19"/>
        <v>0</v>
      </c>
      <c r="CK10" s="80">
        <f t="shared" si="20"/>
        <v>0</v>
      </c>
      <c r="CL10" s="94">
        <f t="shared" si="21"/>
        <v>0</v>
      </c>
      <c r="CM10" s="78">
        <f t="shared" si="22"/>
        <v>0</v>
      </c>
      <c r="CN10" s="79">
        <f t="shared" si="23"/>
        <v>0</v>
      </c>
      <c r="CO10" s="80">
        <f t="shared" si="24"/>
        <v>0</v>
      </c>
      <c r="CP10" s="80">
        <f t="shared" si="25"/>
        <v>0</v>
      </c>
      <c r="CQ10" s="94">
        <f t="shared" si="26"/>
        <v>0</v>
      </c>
      <c r="CR10" s="78">
        <f t="shared" si="27"/>
        <v>0</v>
      </c>
      <c r="CS10" s="79">
        <f t="shared" si="28"/>
        <v>0</v>
      </c>
      <c r="CT10" s="80">
        <f t="shared" si="29"/>
        <v>0</v>
      </c>
      <c r="CU10" s="80">
        <f t="shared" si="30"/>
        <v>0</v>
      </c>
      <c r="CV10" s="94">
        <f t="shared" si="31"/>
        <v>0</v>
      </c>
      <c r="CW10" s="78">
        <f t="shared" si="32"/>
        <v>0</v>
      </c>
      <c r="CX10" s="79">
        <f t="shared" si="33"/>
        <v>0</v>
      </c>
      <c r="CY10" s="80">
        <f t="shared" si="34"/>
        <v>0</v>
      </c>
      <c r="CZ10" s="80">
        <f t="shared" si="35"/>
        <v>0</v>
      </c>
      <c r="DA10" s="94">
        <f t="shared" si="36"/>
        <v>0</v>
      </c>
      <c r="DB10" s="96">
        <f>VLOOKUP($AP10,Tabelle1!$B$4:$W$144,11,0)*$BR10</f>
        <v>0</v>
      </c>
      <c r="DC10" s="97">
        <f t="shared" si="37"/>
        <v>0</v>
      </c>
      <c r="DD10" s="98">
        <f>VLOOKUP($AP10,Tabelle1!$B$4:$AJ$144,35,0)</f>
        <v>0</v>
      </c>
      <c r="DE10" s="99">
        <f t="shared" si="38"/>
        <v>0</v>
      </c>
      <c r="DF10" s="100">
        <f>VLOOKUP($AP10,Tabelle1!$B$4:$AK$144,36,0)</f>
        <v>0</v>
      </c>
      <c r="DG10" s="101">
        <f t="shared" si="39"/>
        <v>0</v>
      </c>
      <c r="DH10">
        <f t="shared" si="40"/>
        <v>0</v>
      </c>
    </row>
    <row r="11" spans="1:112" ht="14.25">
      <c r="A11" s="1">
        <v>7</v>
      </c>
      <c r="B11" s="102" t="str">
        <f t="shared" si="41"/>
        <v>7 - Jungvieh 1/2 bis 1 Jahr - Tiefstallmist</v>
      </c>
      <c r="C11" s="103" t="s">
        <v>71</v>
      </c>
      <c r="D11" s="104"/>
      <c r="E11" s="105"/>
      <c r="F11" s="105"/>
      <c r="G11" s="105"/>
      <c r="H11" s="106">
        <v>28.4</v>
      </c>
      <c r="I11" s="107"/>
      <c r="J11" s="15"/>
      <c r="K11" s="108">
        <v>3.9</v>
      </c>
      <c r="L11" s="107">
        <v>0.60000000000000009</v>
      </c>
      <c r="M11" s="108">
        <v>1</v>
      </c>
      <c r="N11" s="107"/>
      <c r="O11" s="15"/>
      <c r="P11" s="15"/>
      <c r="Q11" s="84"/>
      <c r="R11" s="109">
        <v>13.5</v>
      </c>
      <c r="S11" s="95"/>
      <c r="T11" s="84"/>
      <c r="U11" s="84"/>
      <c r="V11" s="84"/>
      <c r="W11" s="109">
        <v>43.1</v>
      </c>
      <c r="X11" s="118"/>
      <c r="Y11" s="119"/>
      <c r="Z11" s="119"/>
      <c r="AA11" s="120"/>
      <c r="AB11" s="119"/>
      <c r="AC11" s="119"/>
      <c r="AD11" s="119"/>
      <c r="AE11" s="120"/>
      <c r="AF11" s="107"/>
      <c r="AG11" s="15"/>
      <c r="AH11" s="108">
        <v>25.8</v>
      </c>
      <c r="AI11" s="113" t="s">
        <v>71</v>
      </c>
      <c r="AJ11" s="114">
        <v>34</v>
      </c>
      <c r="AK11" s="115">
        <v>42.5</v>
      </c>
      <c r="AL11" s="100">
        <f t="shared" si="42"/>
        <v>4</v>
      </c>
      <c r="AM11" s="121" t="s">
        <v>72</v>
      </c>
      <c r="AN11" s="15" t="s">
        <v>73</v>
      </c>
      <c r="AO11" s="127">
        <f>N_Bedarf!L27-N_Bedarf!L26</f>
        <v>0</v>
      </c>
      <c r="AP11" s="75">
        <f>Tiere!B11</f>
        <v>0</v>
      </c>
      <c r="AQ11" s="76">
        <f>IF(AP11=0,0,Tiere!I11)</f>
        <v>0</v>
      </c>
      <c r="AR11" s="77">
        <f>VLOOKUP($AP11,Tabelle1!$B$4:$AE$144,12,0)*$AQ11</f>
        <v>0</v>
      </c>
      <c r="AS11" s="78">
        <f>VLOOKUP($AP11,Tabelle1!$B$4:$W$144,3,0)*$AR11</f>
        <v>0</v>
      </c>
      <c r="AT11" s="79">
        <f>VLOOKUP($AP11,Tabelle1!$B$4:$W$144,4,0)*$AR11</f>
        <v>0</v>
      </c>
      <c r="AU11" s="80">
        <f>VLOOKUP($AP11,Tabelle1!$B$4:$W$144,5,0)*$AR11</f>
        <v>0</v>
      </c>
      <c r="AV11" s="80">
        <f>VLOOKUP($AP11,Tabelle1!$B$4:$W$144,6,0)*$AR11</f>
        <v>0</v>
      </c>
      <c r="AW11" s="81">
        <f>VLOOKUP($AP11,Tabelle1!$B$4:$W$144,7,0)*$AR11</f>
        <v>0</v>
      </c>
      <c r="AX11" s="87">
        <f t="shared" si="0"/>
        <v>0</v>
      </c>
      <c r="AY11" s="83">
        <f>VLOOKUP($AP11,Tabelle1!$B$4:$W$144,8,0)*$AQ11</f>
        <v>0</v>
      </c>
      <c r="AZ11" s="84">
        <f>VLOOKUP($AP11,Tabelle1!$B$4:$W$144,9,0)*$AQ11</f>
        <v>0</v>
      </c>
      <c r="BA11" s="85">
        <f>VLOOKUP($AP11,Tabelle1!$B$4:$W$144,10,0)*$AQ11</f>
        <v>0</v>
      </c>
      <c r="BB11" s="86">
        <f>VLOOKUP($AP11,Tabelle1!$B$4:$W$144,11,0)*$AQ11</f>
        <v>0</v>
      </c>
      <c r="BC11" s="116">
        <f>VLOOKUP($AP11,Tabelle1!$B$4:$W$144,12,0)*$AQ11</f>
        <v>0</v>
      </c>
      <c r="BD11" s="79">
        <f>VLOOKUP($AP11,Tabelle1!$B$4:$W$144,13,0)*$AR11</f>
        <v>0</v>
      </c>
      <c r="BE11" s="80">
        <f>VLOOKUP($AP11,Tabelle1!$B$4:$W$144,14,0)*$AR11</f>
        <v>0</v>
      </c>
      <c r="BF11" s="80">
        <f>VLOOKUP($AP11,Tabelle1!$B$4:$W$144,15,0)*$AR11</f>
        <v>0</v>
      </c>
      <c r="BG11" s="80">
        <f>VLOOKUP($AP11,Tabelle1!$B$4:$W$144,16,0)*$AR11</f>
        <v>0</v>
      </c>
      <c r="BH11" s="81">
        <f>VLOOKUP($AP11,Tabelle1!$B$4:$W$144,17,0)*$AR11</f>
        <v>0</v>
      </c>
      <c r="BI11" s="87">
        <f t="shared" si="1"/>
        <v>0</v>
      </c>
      <c r="BJ11" s="88">
        <f>VLOOKUP($AP11,Tabelle1!$B$4:$W$144,18,0)*$AR11</f>
        <v>0</v>
      </c>
      <c r="BK11" s="15">
        <f>VLOOKUP($AP11,Tabelle1!$B$4:$W$144,19,0)*$AR11</f>
        <v>0</v>
      </c>
      <c r="BL11" s="15">
        <f>VLOOKUP($AP11,Tabelle1!$B$4:$W$144,20,0)*$AR11</f>
        <v>0</v>
      </c>
      <c r="BM11" s="15">
        <f>VLOOKUP($AP11,Tabelle1!$B$4:$W$144,21,0)*$AR11</f>
        <v>0</v>
      </c>
      <c r="BN11" s="89">
        <f>VLOOKUP($AP11,Tabelle1!$B$4:$W$144,22,0)*$AR11</f>
        <v>0</v>
      </c>
      <c r="BO11" s="90">
        <f t="shared" si="2"/>
        <v>0</v>
      </c>
      <c r="BP11" s="91">
        <f>Tiere!K11</f>
        <v>0</v>
      </c>
      <c r="BQ11" s="92">
        <f>Tiere!L11</f>
        <v>0</v>
      </c>
      <c r="BR11" s="91">
        <f>Tiere!M11</f>
        <v>0</v>
      </c>
      <c r="BS11" s="77">
        <f>Tiere!N11</f>
        <v>0</v>
      </c>
      <c r="BT11" s="117">
        <f t="shared" si="3"/>
        <v>0</v>
      </c>
      <c r="BU11" s="117">
        <f t="shared" si="4"/>
        <v>0</v>
      </c>
      <c r="BV11" s="78">
        <f t="shared" si="5"/>
        <v>0</v>
      </c>
      <c r="BW11" s="79">
        <f t="shared" si="6"/>
        <v>0</v>
      </c>
      <c r="BX11" s="80">
        <f t="shared" si="7"/>
        <v>0</v>
      </c>
      <c r="BY11" s="80">
        <f t="shared" si="8"/>
        <v>0</v>
      </c>
      <c r="BZ11" s="94">
        <f t="shared" si="9"/>
        <v>0</v>
      </c>
      <c r="CA11" s="87">
        <f t="shared" si="10"/>
        <v>0</v>
      </c>
      <c r="CB11" s="86">
        <f t="shared" si="11"/>
        <v>0</v>
      </c>
      <c r="CC11" s="86">
        <f t="shared" si="12"/>
        <v>0</v>
      </c>
      <c r="CD11" s="86">
        <f t="shared" si="13"/>
        <v>0</v>
      </c>
      <c r="CE11" s="86">
        <f t="shared" si="14"/>
        <v>0</v>
      </c>
      <c r="CF11" s="95">
        <f t="shared" si="15"/>
        <v>0</v>
      </c>
      <c r="CG11" s="87">
        <f t="shared" si="16"/>
        <v>0</v>
      </c>
      <c r="CH11" s="78">
        <f t="shared" si="17"/>
        <v>0</v>
      </c>
      <c r="CI11" s="79">
        <f t="shared" si="18"/>
        <v>0</v>
      </c>
      <c r="CJ11" s="80">
        <f t="shared" si="19"/>
        <v>0</v>
      </c>
      <c r="CK11" s="80">
        <f t="shared" si="20"/>
        <v>0</v>
      </c>
      <c r="CL11" s="94">
        <f t="shared" si="21"/>
        <v>0</v>
      </c>
      <c r="CM11" s="78">
        <f t="shared" si="22"/>
        <v>0</v>
      </c>
      <c r="CN11" s="79">
        <f t="shared" si="23"/>
        <v>0</v>
      </c>
      <c r="CO11" s="80">
        <f t="shared" si="24"/>
        <v>0</v>
      </c>
      <c r="CP11" s="80">
        <f t="shared" si="25"/>
        <v>0</v>
      </c>
      <c r="CQ11" s="94">
        <f t="shared" si="26"/>
        <v>0</v>
      </c>
      <c r="CR11" s="78">
        <f t="shared" si="27"/>
        <v>0</v>
      </c>
      <c r="CS11" s="79">
        <f t="shared" si="28"/>
        <v>0</v>
      </c>
      <c r="CT11" s="80">
        <f t="shared" si="29"/>
        <v>0</v>
      </c>
      <c r="CU11" s="80">
        <f t="shared" si="30"/>
        <v>0</v>
      </c>
      <c r="CV11" s="94">
        <f t="shared" si="31"/>
        <v>0</v>
      </c>
      <c r="CW11" s="78">
        <f t="shared" si="32"/>
        <v>0</v>
      </c>
      <c r="CX11" s="79">
        <f t="shared" si="33"/>
        <v>0</v>
      </c>
      <c r="CY11" s="80">
        <f t="shared" si="34"/>
        <v>0</v>
      </c>
      <c r="CZ11" s="80">
        <f t="shared" si="35"/>
        <v>0</v>
      </c>
      <c r="DA11" s="94">
        <f t="shared" si="36"/>
        <v>0</v>
      </c>
      <c r="DB11" s="96">
        <f>VLOOKUP($AP11,Tabelle1!$B$4:$W$144,11,0)*$BR11</f>
        <v>0</v>
      </c>
      <c r="DC11" s="97">
        <f t="shared" si="37"/>
        <v>0</v>
      </c>
      <c r="DD11" s="98">
        <f>VLOOKUP($AP11,Tabelle1!$B$4:$AJ$144,35,0)</f>
        <v>0</v>
      </c>
      <c r="DE11" s="99">
        <f t="shared" si="38"/>
        <v>0</v>
      </c>
      <c r="DF11" s="100">
        <f>VLOOKUP($AP11,Tabelle1!$B$4:$AK$144,36,0)</f>
        <v>0</v>
      </c>
      <c r="DG11" s="101">
        <f t="shared" si="39"/>
        <v>0</v>
      </c>
      <c r="DH11">
        <f t="shared" si="40"/>
        <v>0</v>
      </c>
    </row>
    <row r="12" spans="1:112" ht="14.25">
      <c r="A12" s="1">
        <v>8</v>
      </c>
      <c r="B12" s="102" t="str">
        <f t="shared" si="41"/>
        <v>8 - Jungvieh 1 bis 2 Jahr - Gülle</v>
      </c>
      <c r="C12" s="103" t="s">
        <v>74</v>
      </c>
      <c r="D12" s="104">
        <v>45.6</v>
      </c>
      <c r="E12" s="105"/>
      <c r="F12" s="105"/>
      <c r="G12" s="105"/>
      <c r="H12" s="106"/>
      <c r="I12" s="107">
        <v>5.8</v>
      </c>
      <c r="J12" s="15"/>
      <c r="K12" s="108"/>
      <c r="L12" s="107">
        <v>0.60000000000000009</v>
      </c>
      <c r="M12" s="108">
        <v>1</v>
      </c>
      <c r="N12" s="107">
        <v>19.600000000000001</v>
      </c>
      <c r="O12" s="15"/>
      <c r="P12" s="15"/>
      <c r="Q12" s="84"/>
      <c r="R12" s="109"/>
      <c r="S12" s="95">
        <v>74.8</v>
      </c>
      <c r="T12" s="84"/>
      <c r="U12" s="84"/>
      <c r="V12" s="84"/>
      <c r="W12" s="109"/>
      <c r="X12" s="118"/>
      <c r="Y12" s="119"/>
      <c r="Z12" s="119"/>
      <c r="AA12" s="120"/>
      <c r="AB12" s="119"/>
      <c r="AC12" s="119"/>
      <c r="AD12" s="119"/>
      <c r="AE12" s="120"/>
      <c r="AF12" s="107">
        <v>39.700000000000003</v>
      </c>
      <c r="AG12" s="15"/>
      <c r="AH12" s="108"/>
      <c r="AI12" s="113" t="s">
        <v>74</v>
      </c>
      <c r="AJ12" s="114">
        <v>51.52</v>
      </c>
      <c r="AK12" s="115">
        <v>51.5</v>
      </c>
      <c r="AL12" s="100">
        <f t="shared" si="42"/>
        <v>3.3009708737864076</v>
      </c>
      <c r="AM12" s="121" t="s">
        <v>75</v>
      </c>
      <c r="AN12" s="15" t="s">
        <v>76</v>
      </c>
      <c r="AO12" s="128">
        <f>IF(Mineral!H50&lt;=0,1,0)</f>
        <v>1</v>
      </c>
      <c r="AP12" s="75">
        <f>Tiere!B12</f>
        <v>0</v>
      </c>
      <c r="AQ12" s="76">
        <f>IF(AP12=0,0,Tiere!I12)</f>
        <v>0</v>
      </c>
      <c r="AR12" s="77">
        <f>VLOOKUP($AP12,Tabelle1!$B$4:$AE$144,12,0)*$AQ12</f>
        <v>0</v>
      </c>
      <c r="AS12" s="78">
        <f>VLOOKUP($AP12,Tabelle1!$B$4:$W$144,3,0)*$AR12</f>
        <v>0</v>
      </c>
      <c r="AT12" s="79">
        <f>VLOOKUP($AP12,Tabelle1!$B$4:$W$144,4,0)*$AR12</f>
        <v>0</v>
      </c>
      <c r="AU12" s="80">
        <f>VLOOKUP($AP12,Tabelle1!$B$4:$W$144,5,0)*$AR12</f>
        <v>0</v>
      </c>
      <c r="AV12" s="80">
        <f>VLOOKUP($AP12,Tabelle1!$B$4:$W$144,6,0)*$AR12</f>
        <v>0</v>
      </c>
      <c r="AW12" s="81">
        <f>VLOOKUP($AP12,Tabelle1!$B$4:$W$144,7,0)*$AR12</f>
        <v>0</v>
      </c>
      <c r="AX12" s="87">
        <f t="shared" si="0"/>
        <v>0</v>
      </c>
      <c r="AY12" s="83">
        <f>VLOOKUP($AP12,Tabelle1!$B$4:$W$144,8,0)*$AQ12</f>
        <v>0</v>
      </c>
      <c r="AZ12" s="84">
        <f>VLOOKUP($AP12,Tabelle1!$B$4:$W$144,9,0)*$AQ12</f>
        <v>0</v>
      </c>
      <c r="BA12" s="85">
        <f>VLOOKUP($AP12,Tabelle1!$B$4:$W$144,10,0)*$AQ12</f>
        <v>0</v>
      </c>
      <c r="BB12" s="86">
        <f>VLOOKUP($AP12,Tabelle1!$B$4:$W$144,11,0)*$AQ12</f>
        <v>0</v>
      </c>
      <c r="BC12" s="116">
        <f>VLOOKUP($AP12,Tabelle1!$B$4:$W$144,12,0)*$AQ12</f>
        <v>0</v>
      </c>
      <c r="BD12" s="79">
        <f>VLOOKUP($AP12,Tabelle1!$B$4:$W$144,13,0)*$AR12</f>
        <v>0</v>
      </c>
      <c r="BE12" s="80">
        <f>VLOOKUP($AP12,Tabelle1!$B$4:$W$144,14,0)*$AR12</f>
        <v>0</v>
      </c>
      <c r="BF12" s="80">
        <f>VLOOKUP($AP12,Tabelle1!$B$4:$W$144,15,0)*$AR12</f>
        <v>0</v>
      </c>
      <c r="BG12" s="80">
        <f>VLOOKUP($AP12,Tabelle1!$B$4:$W$144,16,0)*$AR12</f>
        <v>0</v>
      </c>
      <c r="BH12" s="81">
        <f>VLOOKUP($AP12,Tabelle1!$B$4:$W$144,17,0)*$AR12</f>
        <v>0</v>
      </c>
      <c r="BI12" s="87">
        <f t="shared" si="1"/>
        <v>0</v>
      </c>
      <c r="BJ12" s="88">
        <f>VLOOKUP($AP12,Tabelle1!$B$4:$W$144,18,0)*$AR12</f>
        <v>0</v>
      </c>
      <c r="BK12" s="15">
        <f>VLOOKUP($AP12,Tabelle1!$B$4:$W$144,19,0)*$AR12</f>
        <v>0</v>
      </c>
      <c r="BL12" s="15">
        <f>VLOOKUP($AP12,Tabelle1!$B$4:$W$144,20,0)*$AR12</f>
        <v>0</v>
      </c>
      <c r="BM12" s="15">
        <f>VLOOKUP($AP12,Tabelle1!$B$4:$W$144,21,0)*$AR12</f>
        <v>0</v>
      </c>
      <c r="BN12" s="89">
        <f>VLOOKUP($AP12,Tabelle1!$B$4:$W$144,22,0)*$AR12</f>
        <v>0</v>
      </c>
      <c r="BO12" s="90">
        <f t="shared" si="2"/>
        <v>0</v>
      </c>
      <c r="BP12" s="91">
        <f>Tiere!K12</f>
        <v>0</v>
      </c>
      <c r="BQ12" s="92">
        <f>Tiere!L12</f>
        <v>0</v>
      </c>
      <c r="BR12" s="91">
        <f>Tiere!M12</f>
        <v>0</v>
      </c>
      <c r="BS12" s="77">
        <f>Tiere!N12</f>
        <v>0</v>
      </c>
      <c r="BT12" s="117">
        <f t="shared" si="3"/>
        <v>0</v>
      </c>
      <c r="BU12" s="117">
        <f t="shared" si="4"/>
        <v>0</v>
      </c>
      <c r="BV12" s="78">
        <f t="shared" si="5"/>
        <v>0</v>
      </c>
      <c r="BW12" s="79">
        <f t="shared" si="6"/>
        <v>0</v>
      </c>
      <c r="BX12" s="80">
        <f t="shared" si="7"/>
        <v>0</v>
      </c>
      <c r="BY12" s="80">
        <f t="shared" si="8"/>
        <v>0</v>
      </c>
      <c r="BZ12" s="94">
        <f t="shared" si="9"/>
        <v>0</v>
      </c>
      <c r="CA12" s="87">
        <f t="shared" si="10"/>
        <v>0</v>
      </c>
      <c r="CB12" s="86">
        <f t="shared" si="11"/>
        <v>0</v>
      </c>
      <c r="CC12" s="86">
        <f t="shared" si="12"/>
        <v>0</v>
      </c>
      <c r="CD12" s="86">
        <f t="shared" si="13"/>
        <v>0</v>
      </c>
      <c r="CE12" s="86">
        <f t="shared" si="14"/>
        <v>0</v>
      </c>
      <c r="CF12" s="95">
        <f t="shared" si="15"/>
        <v>0</v>
      </c>
      <c r="CG12" s="87">
        <f t="shared" si="16"/>
        <v>0</v>
      </c>
      <c r="CH12" s="78">
        <f t="shared" si="17"/>
        <v>0</v>
      </c>
      <c r="CI12" s="79">
        <f t="shared" si="18"/>
        <v>0</v>
      </c>
      <c r="CJ12" s="80">
        <f t="shared" si="19"/>
        <v>0</v>
      </c>
      <c r="CK12" s="80">
        <f t="shared" si="20"/>
        <v>0</v>
      </c>
      <c r="CL12" s="94">
        <f t="shared" si="21"/>
        <v>0</v>
      </c>
      <c r="CM12" s="78">
        <f t="shared" si="22"/>
        <v>0</v>
      </c>
      <c r="CN12" s="79">
        <f t="shared" si="23"/>
        <v>0</v>
      </c>
      <c r="CO12" s="80">
        <f t="shared" si="24"/>
        <v>0</v>
      </c>
      <c r="CP12" s="80">
        <f t="shared" si="25"/>
        <v>0</v>
      </c>
      <c r="CQ12" s="94">
        <f t="shared" si="26"/>
        <v>0</v>
      </c>
      <c r="CR12" s="78">
        <f t="shared" si="27"/>
        <v>0</v>
      </c>
      <c r="CS12" s="79">
        <f t="shared" si="28"/>
        <v>0</v>
      </c>
      <c r="CT12" s="80">
        <f t="shared" si="29"/>
        <v>0</v>
      </c>
      <c r="CU12" s="80">
        <f t="shared" si="30"/>
        <v>0</v>
      </c>
      <c r="CV12" s="94">
        <f t="shared" si="31"/>
        <v>0</v>
      </c>
      <c r="CW12" s="78">
        <f t="shared" si="32"/>
        <v>0</v>
      </c>
      <c r="CX12" s="79">
        <f t="shared" si="33"/>
        <v>0</v>
      </c>
      <c r="CY12" s="80">
        <f t="shared" si="34"/>
        <v>0</v>
      </c>
      <c r="CZ12" s="80">
        <f t="shared" si="35"/>
        <v>0</v>
      </c>
      <c r="DA12" s="94">
        <f t="shared" si="36"/>
        <v>0</v>
      </c>
      <c r="DB12" s="96">
        <f>VLOOKUP($AP12,Tabelle1!$B$4:$W$144,11,0)*$BR12</f>
        <v>0</v>
      </c>
      <c r="DC12" s="97">
        <f t="shared" si="37"/>
        <v>0</v>
      </c>
      <c r="DD12" s="98">
        <f>VLOOKUP($AP12,Tabelle1!$B$4:$AJ$144,35,0)</f>
        <v>0</v>
      </c>
      <c r="DE12" s="99">
        <f t="shared" si="38"/>
        <v>0</v>
      </c>
      <c r="DF12" s="100">
        <f>VLOOKUP($AP12,Tabelle1!$B$4:$AK$144,36,0)</f>
        <v>0</v>
      </c>
      <c r="DG12" s="101">
        <f t="shared" si="39"/>
        <v>0</v>
      </c>
      <c r="DH12">
        <f t="shared" si="40"/>
        <v>0</v>
      </c>
    </row>
    <row r="13" spans="1:112" ht="14.25" customHeight="1">
      <c r="A13" s="1">
        <v>9</v>
      </c>
      <c r="B13" s="102" t="str">
        <f t="shared" si="41"/>
        <v>9 - Jungvieh 1 bis 2 Jahr - Mist/Jauche</v>
      </c>
      <c r="C13" s="103" t="s">
        <v>77</v>
      </c>
      <c r="D13" s="104"/>
      <c r="E13" s="105"/>
      <c r="F13" s="105"/>
      <c r="G13" s="105">
        <v>18.7</v>
      </c>
      <c r="H13" s="106">
        <v>18.8</v>
      </c>
      <c r="I13" s="107"/>
      <c r="J13" s="15">
        <v>2.9</v>
      </c>
      <c r="K13" s="109">
        <v>3</v>
      </c>
      <c r="L13" s="107">
        <v>0.60000000000000009</v>
      </c>
      <c r="M13" s="108">
        <v>1</v>
      </c>
      <c r="N13" s="107"/>
      <c r="O13" s="15"/>
      <c r="P13" s="15"/>
      <c r="Q13" s="84">
        <v>0.98</v>
      </c>
      <c r="R13" s="109">
        <v>18.62</v>
      </c>
      <c r="S13" s="95"/>
      <c r="T13" s="84"/>
      <c r="U13" s="84"/>
      <c r="V13" s="84">
        <v>24.684000000000001</v>
      </c>
      <c r="W13" s="109">
        <v>50.116</v>
      </c>
      <c r="X13" s="118"/>
      <c r="Y13" s="119"/>
      <c r="Z13" s="119"/>
      <c r="AA13" s="120"/>
      <c r="AB13" s="119"/>
      <c r="AC13" s="119"/>
      <c r="AD13" s="119"/>
      <c r="AE13" s="120"/>
      <c r="AF13" s="107"/>
      <c r="AG13" s="15">
        <v>16.3</v>
      </c>
      <c r="AH13" s="108">
        <v>17.100000000000001</v>
      </c>
      <c r="AI13" s="113" t="s">
        <v>77</v>
      </c>
      <c r="AJ13" s="114">
        <v>51.52</v>
      </c>
      <c r="AK13" s="115">
        <v>51.5</v>
      </c>
      <c r="AL13" s="100">
        <f t="shared" si="42"/>
        <v>3.3009708737864076</v>
      </c>
      <c r="AM13" s="121" t="s">
        <v>78</v>
      </c>
      <c r="AN13" s="129" t="s">
        <v>79</v>
      </c>
      <c r="AO13" s="128"/>
      <c r="AP13" s="75">
        <f>Tiere!B13</f>
        <v>0</v>
      </c>
      <c r="AQ13" s="76">
        <f>IF(AP13=0,0,Tiere!I13)</f>
        <v>0</v>
      </c>
      <c r="AR13" s="77">
        <f>VLOOKUP($AP13,Tabelle1!$B$4:$AE$144,12,0)*$AQ13</f>
        <v>0</v>
      </c>
      <c r="AS13" s="78">
        <f>VLOOKUP($AP13,Tabelle1!$B$4:$W$144,3,0)*$AR13</f>
        <v>0</v>
      </c>
      <c r="AT13" s="79">
        <f>VLOOKUP($AP13,Tabelle1!$B$4:$W$144,4,0)*$AR13</f>
        <v>0</v>
      </c>
      <c r="AU13" s="80">
        <f>VLOOKUP($AP13,Tabelle1!$B$4:$W$144,5,0)*$AR13</f>
        <v>0</v>
      </c>
      <c r="AV13" s="80">
        <f>VLOOKUP($AP13,Tabelle1!$B$4:$W$144,6,0)*$AR13</f>
        <v>0</v>
      </c>
      <c r="AW13" s="81">
        <f>VLOOKUP($AP13,Tabelle1!$B$4:$W$144,7,0)*$AR13</f>
        <v>0</v>
      </c>
      <c r="AX13" s="87">
        <f t="shared" si="0"/>
        <v>0</v>
      </c>
      <c r="AY13" s="83">
        <f>VLOOKUP($AP13,Tabelle1!$B$4:$W$144,8,0)*$AQ13</f>
        <v>0</v>
      </c>
      <c r="AZ13" s="84">
        <f>VLOOKUP($AP13,Tabelle1!$B$4:$W$144,9,0)*$AQ13</f>
        <v>0</v>
      </c>
      <c r="BA13" s="85">
        <f>VLOOKUP($AP13,Tabelle1!$B$4:$W$144,10,0)*$AQ13</f>
        <v>0</v>
      </c>
      <c r="BB13" s="86">
        <f>VLOOKUP($AP13,Tabelle1!$B$4:$W$144,11,0)*$AQ13</f>
        <v>0</v>
      </c>
      <c r="BC13" s="116">
        <f>VLOOKUP($AP13,Tabelle1!$B$4:$W$144,12,0)*$AQ13</f>
        <v>0</v>
      </c>
      <c r="BD13" s="79">
        <f>VLOOKUP($AP13,Tabelle1!$B$4:$W$144,13,0)*$AR13</f>
        <v>0</v>
      </c>
      <c r="BE13" s="80">
        <f>VLOOKUP($AP13,Tabelle1!$B$4:$W$144,14,0)*$AR13</f>
        <v>0</v>
      </c>
      <c r="BF13" s="80">
        <f>VLOOKUP($AP13,Tabelle1!$B$4:$W$144,15,0)*$AR13</f>
        <v>0</v>
      </c>
      <c r="BG13" s="80">
        <f>VLOOKUP($AP13,Tabelle1!$B$4:$W$144,16,0)*$AR13</f>
        <v>0</v>
      </c>
      <c r="BH13" s="81">
        <f>VLOOKUP($AP13,Tabelle1!$B$4:$W$144,17,0)*$AR13</f>
        <v>0</v>
      </c>
      <c r="BI13" s="87">
        <f t="shared" si="1"/>
        <v>0</v>
      </c>
      <c r="BJ13" s="88">
        <f>VLOOKUP($AP13,Tabelle1!$B$4:$W$144,18,0)*$AR13</f>
        <v>0</v>
      </c>
      <c r="BK13" s="15">
        <f>VLOOKUP($AP13,Tabelle1!$B$4:$W$144,19,0)*$AR13</f>
        <v>0</v>
      </c>
      <c r="BL13" s="15">
        <f>VLOOKUP($AP13,Tabelle1!$B$4:$W$144,20,0)*$AR13</f>
        <v>0</v>
      </c>
      <c r="BM13" s="15">
        <f>VLOOKUP($AP13,Tabelle1!$B$4:$W$144,21,0)*$AR13</f>
        <v>0</v>
      </c>
      <c r="BN13" s="89">
        <f>VLOOKUP($AP13,Tabelle1!$B$4:$W$144,22,0)*$AR13</f>
        <v>0</v>
      </c>
      <c r="BO13" s="90">
        <f t="shared" si="2"/>
        <v>0</v>
      </c>
      <c r="BP13" s="91">
        <f>Tiere!K13</f>
        <v>0</v>
      </c>
      <c r="BQ13" s="92">
        <f>Tiere!L13</f>
        <v>0</v>
      </c>
      <c r="BR13" s="91">
        <f>Tiere!M13</f>
        <v>0</v>
      </c>
      <c r="BS13" s="77">
        <f>Tiere!N13</f>
        <v>0</v>
      </c>
      <c r="BT13" s="117">
        <f t="shared" si="3"/>
        <v>0</v>
      </c>
      <c r="BU13" s="117">
        <f t="shared" si="4"/>
        <v>0</v>
      </c>
      <c r="BV13" s="78">
        <f t="shared" si="5"/>
        <v>0</v>
      </c>
      <c r="BW13" s="79">
        <f t="shared" si="6"/>
        <v>0</v>
      </c>
      <c r="BX13" s="80">
        <f t="shared" si="7"/>
        <v>0</v>
      </c>
      <c r="BY13" s="80">
        <f t="shared" si="8"/>
        <v>0</v>
      </c>
      <c r="BZ13" s="94">
        <f t="shared" si="9"/>
        <v>0</v>
      </c>
      <c r="CA13" s="87">
        <f t="shared" si="10"/>
        <v>0</v>
      </c>
      <c r="CB13" s="86">
        <f t="shared" si="11"/>
        <v>0</v>
      </c>
      <c r="CC13" s="86">
        <f t="shared" si="12"/>
        <v>0</v>
      </c>
      <c r="CD13" s="86">
        <f t="shared" si="13"/>
        <v>0</v>
      </c>
      <c r="CE13" s="86">
        <f t="shared" si="14"/>
        <v>0</v>
      </c>
      <c r="CF13" s="95">
        <f t="shared" si="15"/>
        <v>0</v>
      </c>
      <c r="CG13" s="87">
        <f t="shared" si="16"/>
        <v>0</v>
      </c>
      <c r="CH13" s="78">
        <f t="shared" si="17"/>
        <v>0</v>
      </c>
      <c r="CI13" s="79">
        <f t="shared" si="18"/>
        <v>0</v>
      </c>
      <c r="CJ13" s="80">
        <f t="shared" si="19"/>
        <v>0</v>
      </c>
      <c r="CK13" s="80">
        <f t="shared" si="20"/>
        <v>0</v>
      </c>
      <c r="CL13" s="94">
        <f t="shared" si="21"/>
        <v>0</v>
      </c>
      <c r="CM13" s="78">
        <f t="shared" si="22"/>
        <v>0</v>
      </c>
      <c r="CN13" s="79">
        <f t="shared" si="23"/>
        <v>0</v>
      </c>
      <c r="CO13" s="80">
        <f t="shared" si="24"/>
        <v>0</v>
      </c>
      <c r="CP13" s="80">
        <f t="shared" si="25"/>
        <v>0</v>
      </c>
      <c r="CQ13" s="94">
        <f t="shared" si="26"/>
        <v>0</v>
      </c>
      <c r="CR13" s="78">
        <f t="shared" si="27"/>
        <v>0</v>
      </c>
      <c r="CS13" s="79">
        <f t="shared" si="28"/>
        <v>0</v>
      </c>
      <c r="CT13" s="80">
        <f t="shared" si="29"/>
        <v>0</v>
      </c>
      <c r="CU13" s="80">
        <f t="shared" si="30"/>
        <v>0</v>
      </c>
      <c r="CV13" s="94">
        <f t="shared" si="31"/>
        <v>0</v>
      </c>
      <c r="CW13" s="78">
        <f t="shared" si="32"/>
        <v>0</v>
      </c>
      <c r="CX13" s="79">
        <f t="shared" si="33"/>
        <v>0</v>
      </c>
      <c r="CY13" s="80">
        <f t="shared" si="34"/>
        <v>0</v>
      </c>
      <c r="CZ13" s="80">
        <f t="shared" si="35"/>
        <v>0</v>
      </c>
      <c r="DA13" s="94">
        <f t="shared" si="36"/>
        <v>0</v>
      </c>
      <c r="DB13" s="96">
        <f>VLOOKUP($AP13,Tabelle1!$B$4:$W$144,11,0)*$BR13</f>
        <v>0</v>
      </c>
      <c r="DC13" s="97">
        <f t="shared" si="37"/>
        <v>0</v>
      </c>
      <c r="DD13" s="98">
        <f>VLOOKUP($AP13,Tabelle1!$B$4:$AJ$144,35,0)</f>
        <v>0</v>
      </c>
      <c r="DE13" s="99">
        <f t="shared" si="38"/>
        <v>0</v>
      </c>
      <c r="DF13" s="100">
        <f>VLOOKUP($AP13,Tabelle1!$B$4:$AK$144,36,0)</f>
        <v>0</v>
      </c>
      <c r="DG13" s="101">
        <f t="shared" si="39"/>
        <v>0</v>
      </c>
      <c r="DH13">
        <f t="shared" si="40"/>
        <v>0</v>
      </c>
    </row>
    <row r="14" spans="1:112" ht="14.25">
      <c r="A14" s="1">
        <v>10</v>
      </c>
      <c r="B14" s="102" t="str">
        <f t="shared" si="41"/>
        <v>10 - Jungvieh 1 bis 2 Jahr - Tiefstallmist</v>
      </c>
      <c r="C14" s="103" t="s">
        <v>80</v>
      </c>
      <c r="D14" s="104"/>
      <c r="E14" s="105"/>
      <c r="F14" s="105"/>
      <c r="G14" s="105"/>
      <c r="H14" s="106">
        <v>37.5</v>
      </c>
      <c r="I14" s="107"/>
      <c r="J14" s="15"/>
      <c r="K14" s="108">
        <v>6.2</v>
      </c>
      <c r="L14" s="107">
        <v>0.60000000000000009</v>
      </c>
      <c r="M14" s="108">
        <v>1</v>
      </c>
      <c r="N14" s="107"/>
      <c r="O14" s="15"/>
      <c r="P14" s="15"/>
      <c r="Q14" s="84"/>
      <c r="R14" s="109">
        <v>19.600000000000001</v>
      </c>
      <c r="S14" s="95"/>
      <c r="T14" s="84"/>
      <c r="U14" s="84"/>
      <c r="V14" s="84"/>
      <c r="W14" s="109">
        <v>74.8</v>
      </c>
      <c r="X14" s="118"/>
      <c r="Y14" s="119"/>
      <c r="Z14" s="119"/>
      <c r="AA14" s="120"/>
      <c r="AB14" s="119"/>
      <c r="AC14" s="119"/>
      <c r="AD14" s="119"/>
      <c r="AE14" s="120"/>
      <c r="AF14" s="107"/>
      <c r="AG14" s="15"/>
      <c r="AH14" s="108">
        <v>34.1</v>
      </c>
      <c r="AI14" s="113" t="s">
        <v>80</v>
      </c>
      <c r="AJ14" s="114">
        <v>51.52</v>
      </c>
      <c r="AK14" s="115">
        <v>51.5</v>
      </c>
      <c r="AL14" s="100">
        <f t="shared" si="42"/>
        <v>3.3009708737864076</v>
      </c>
      <c r="AM14" s="121" t="s">
        <v>81</v>
      </c>
      <c r="AN14" s="15" t="str">
        <f>IF(Betrieb!I8="JA","ÖPUL 2015","")</f>
        <v>ÖPUL 2015</v>
      </c>
      <c r="AO14" s="124">
        <f>IF(Betrieb!I8="JA",1,0)</f>
        <v>1</v>
      </c>
      <c r="AP14" s="75">
        <f>Tiere!B14</f>
        <v>0</v>
      </c>
      <c r="AQ14" s="76">
        <f>IF(AP14=0,0,Tiere!I14)</f>
        <v>0</v>
      </c>
      <c r="AR14" s="77">
        <f>VLOOKUP($AP14,Tabelle1!$B$4:$AE$144,12,0)*$AQ14</f>
        <v>0</v>
      </c>
      <c r="AS14" s="78">
        <f>VLOOKUP($AP14,Tabelle1!$B$4:$W$144,3,0)*$AR14</f>
        <v>0</v>
      </c>
      <c r="AT14" s="79">
        <f>VLOOKUP($AP14,Tabelle1!$B$4:$W$144,4,0)*$AR14</f>
        <v>0</v>
      </c>
      <c r="AU14" s="80">
        <f>VLOOKUP($AP14,Tabelle1!$B$4:$W$144,5,0)*$AR14</f>
        <v>0</v>
      </c>
      <c r="AV14" s="80">
        <f>VLOOKUP($AP14,Tabelle1!$B$4:$W$144,6,0)*$AR14</f>
        <v>0</v>
      </c>
      <c r="AW14" s="81">
        <f>VLOOKUP($AP14,Tabelle1!$B$4:$W$144,7,0)*$AR14</f>
        <v>0</v>
      </c>
      <c r="AX14" s="87">
        <f t="shared" si="0"/>
        <v>0</v>
      </c>
      <c r="AY14" s="83">
        <f>VLOOKUP($AP14,Tabelle1!$B$4:$W$144,8,0)*$AQ14</f>
        <v>0</v>
      </c>
      <c r="AZ14" s="84">
        <f>VLOOKUP($AP14,Tabelle1!$B$4:$W$144,9,0)*$AQ14</f>
        <v>0</v>
      </c>
      <c r="BA14" s="85">
        <f>VLOOKUP($AP14,Tabelle1!$B$4:$W$144,10,0)*$AQ14</f>
        <v>0</v>
      </c>
      <c r="BB14" s="86">
        <f>VLOOKUP($AP14,Tabelle1!$B$4:$W$144,11,0)*$AQ14</f>
        <v>0</v>
      </c>
      <c r="BC14" s="116">
        <f>VLOOKUP($AP14,Tabelle1!$B$4:$W$144,12,0)*$AQ14</f>
        <v>0</v>
      </c>
      <c r="BD14" s="79">
        <f>VLOOKUP($AP14,Tabelle1!$B$4:$W$144,13,0)*$AR14</f>
        <v>0</v>
      </c>
      <c r="BE14" s="80">
        <f>VLOOKUP($AP14,Tabelle1!$B$4:$W$144,14,0)*$AR14</f>
        <v>0</v>
      </c>
      <c r="BF14" s="80">
        <f>VLOOKUP($AP14,Tabelle1!$B$4:$W$144,15,0)*$AR14</f>
        <v>0</v>
      </c>
      <c r="BG14" s="80">
        <f>VLOOKUP($AP14,Tabelle1!$B$4:$W$144,16,0)*$AR14</f>
        <v>0</v>
      </c>
      <c r="BH14" s="81">
        <f>VLOOKUP($AP14,Tabelle1!$B$4:$W$144,17,0)*$AR14</f>
        <v>0</v>
      </c>
      <c r="BI14" s="87">
        <f t="shared" si="1"/>
        <v>0</v>
      </c>
      <c r="BJ14" s="88">
        <f>VLOOKUP($AP14,Tabelle1!$B$4:$W$144,18,0)*$AR14</f>
        <v>0</v>
      </c>
      <c r="BK14" s="15">
        <f>VLOOKUP($AP14,Tabelle1!$B$4:$W$144,19,0)*$AR14</f>
        <v>0</v>
      </c>
      <c r="BL14" s="15">
        <f>VLOOKUP($AP14,Tabelle1!$B$4:$W$144,20,0)*$AR14</f>
        <v>0</v>
      </c>
      <c r="BM14" s="15">
        <f>VLOOKUP($AP14,Tabelle1!$B$4:$W$144,21,0)*$AR14</f>
        <v>0</v>
      </c>
      <c r="BN14" s="89">
        <f>VLOOKUP($AP14,Tabelle1!$B$4:$W$144,22,0)*$AR14</f>
        <v>0</v>
      </c>
      <c r="BO14" s="90">
        <f t="shared" si="2"/>
        <v>0</v>
      </c>
      <c r="BP14" s="91">
        <f>Tiere!K14</f>
        <v>0</v>
      </c>
      <c r="BQ14" s="92">
        <f>Tiere!L14</f>
        <v>0</v>
      </c>
      <c r="BR14" s="91">
        <f>Tiere!M14</f>
        <v>0</v>
      </c>
      <c r="BS14" s="77">
        <f>Tiere!N14</f>
        <v>0</v>
      </c>
      <c r="BT14" s="117">
        <f t="shared" si="3"/>
        <v>0</v>
      </c>
      <c r="BU14" s="117">
        <f t="shared" si="4"/>
        <v>0</v>
      </c>
      <c r="BV14" s="78">
        <f t="shared" si="5"/>
        <v>0</v>
      </c>
      <c r="BW14" s="79">
        <f t="shared" si="6"/>
        <v>0</v>
      </c>
      <c r="BX14" s="80">
        <f t="shared" si="7"/>
        <v>0</v>
      </c>
      <c r="BY14" s="80">
        <f t="shared" si="8"/>
        <v>0</v>
      </c>
      <c r="BZ14" s="94">
        <f t="shared" si="9"/>
        <v>0</v>
      </c>
      <c r="CA14" s="87">
        <f t="shared" si="10"/>
        <v>0</v>
      </c>
      <c r="CB14" s="86">
        <f t="shared" si="11"/>
        <v>0</v>
      </c>
      <c r="CC14" s="86">
        <f t="shared" si="12"/>
        <v>0</v>
      </c>
      <c r="CD14" s="86">
        <f t="shared" si="13"/>
        <v>0</v>
      </c>
      <c r="CE14" s="86">
        <f t="shared" si="14"/>
        <v>0</v>
      </c>
      <c r="CF14" s="95">
        <f t="shared" si="15"/>
        <v>0</v>
      </c>
      <c r="CG14" s="87">
        <f t="shared" si="16"/>
        <v>0</v>
      </c>
      <c r="CH14" s="78">
        <f t="shared" si="17"/>
        <v>0</v>
      </c>
      <c r="CI14" s="79">
        <f t="shared" si="18"/>
        <v>0</v>
      </c>
      <c r="CJ14" s="80">
        <f t="shared" si="19"/>
        <v>0</v>
      </c>
      <c r="CK14" s="80">
        <f t="shared" si="20"/>
        <v>0</v>
      </c>
      <c r="CL14" s="94">
        <f t="shared" si="21"/>
        <v>0</v>
      </c>
      <c r="CM14" s="78">
        <f t="shared" si="22"/>
        <v>0</v>
      </c>
      <c r="CN14" s="79">
        <f t="shared" si="23"/>
        <v>0</v>
      </c>
      <c r="CO14" s="80">
        <f t="shared" si="24"/>
        <v>0</v>
      </c>
      <c r="CP14" s="80">
        <f t="shared" si="25"/>
        <v>0</v>
      </c>
      <c r="CQ14" s="94">
        <f t="shared" si="26"/>
        <v>0</v>
      </c>
      <c r="CR14" s="78">
        <f t="shared" si="27"/>
        <v>0</v>
      </c>
      <c r="CS14" s="79">
        <f t="shared" si="28"/>
        <v>0</v>
      </c>
      <c r="CT14" s="80">
        <f t="shared" si="29"/>
        <v>0</v>
      </c>
      <c r="CU14" s="80">
        <f t="shared" si="30"/>
        <v>0</v>
      </c>
      <c r="CV14" s="94">
        <f t="shared" si="31"/>
        <v>0</v>
      </c>
      <c r="CW14" s="78">
        <f t="shared" si="32"/>
        <v>0</v>
      </c>
      <c r="CX14" s="79">
        <f t="shared" si="33"/>
        <v>0</v>
      </c>
      <c r="CY14" s="80">
        <f t="shared" si="34"/>
        <v>0</v>
      </c>
      <c r="CZ14" s="80">
        <f t="shared" si="35"/>
        <v>0</v>
      </c>
      <c r="DA14" s="94">
        <f t="shared" si="36"/>
        <v>0</v>
      </c>
      <c r="DB14" s="96">
        <f>VLOOKUP($AP14,Tabelle1!$B$4:$W$144,11,0)*$BR14</f>
        <v>0</v>
      </c>
      <c r="DC14" s="97">
        <f t="shared" si="37"/>
        <v>0</v>
      </c>
      <c r="DD14" s="98">
        <f>VLOOKUP($AP14,Tabelle1!$B$4:$AJ$144,35,0)</f>
        <v>0</v>
      </c>
      <c r="DE14" s="99">
        <f t="shared" si="38"/>
        <v>0</v>
      </c>
      <c r="DF14" s="100">
        <f>VLOOKUP($AP14,Tabelle1!$B$4:$AK$144,36,0)</f>
        <v>0</v>
      </c>
      <c r="DG14" s="101">
        <f t="shared" si="39"/>
        <v>0</v>
      </c>
      <c r="DH14">
        <f t="shared" si="40"/>
        <v>0</v>
      </c>
    </row>
    <row r="15" spans="1:112" ht="14.25">
      <c r="A15" s="1">
        <v>11</v>
      </c>
      <c r="B15" s="102" t="str">
        <f t="shared" si="41"/>
        <v>11 - Ochsen, Stiere - Gülle</v>
      </c>
      <c r="C15" s="103" t="s">
        <v>82</v>
      </c>
      <c r="D15" s="104">
        <v>54.7</v>
      </c>
      <c r="E15" s="105"/>
      <c r="F15" s="105"/>
      <c r="G15" s="105"/>
      <c r="H15" s="106"/>
      <c r="I15" s="107">
        <v>7.1</v>
      </c>
      <c r="J15" s="15"/>
      <c r="K15" s="108"/>
      <c r="L15" s="107">
        <v>1</v>
      </c>
      <c r="M15" s="108">
        <v>1</v>
      </c>
      <c r="N15" s="107">
        <v>24.8</v>
      </c>
      <c r="O15" s="15"/>
      <c r="P15" s="15"/>
      <c r="Q15" s="84"/>
      <c r="R15" s="109"/>
      <c r="S15" s="95">
        <v>84.9</v>
      </c>
      <c r="T15" s="84"/>
      <c r="U15" s="84"/>
      <c r="V15" s="84"/>
      <c r="W15" s="109"/>
      <c r="X15" s="118"/>
      <c r="Y15" s="119"/>
      <c r="Z15" s="119"/>
      <c r="AA15" s="120"/>
      <c r="AB15" s="119"/>
      <c r="AC15" s="119"/>
      <c r="AD15" s="119"/>
      <c r="AE15" s="120"/>
      <c r="AF15" s="107">
        <v>47.6</v>
      </c>
      <c r="AG15" s="15"/>
      <c r="AH15" s="108"/>
      <c r="AI15" s="113" t="s">
        <v>82</v>
      </c>
      <c r="AJ15" s="114">
        <v>85</v>
      </c>
      <c r="AK15" s="115">
        <v>85</v>
      </c>
      <c r="AL15" s="100">
        <f t="shared" si="42"/>
        <v>2</v>
      </c>
      <c r="AM15" s="121" t="s">
        <v>83</v>
      </c>
      <c r="AN15" s="15" t="str">
        <f>IF(Betrieb!I9="JA","Bio","")</f>
        <v/>
      </c>
      <c r="AO15" s="124">
        <f>IF(Betrieb!I9="JA",1,0)</f>
        <v>0</v>
      </c>
      <c r="AP15" s="75">
        <f>Tiere!B15</f>
        <v>0</v>
      </c>
      <c r="AQ15" s="76">
        <f>IF(AP15=0,0,Tiere!I15)</f>
        <v>0</v>
      </c>
      <c r="AR15" s="77">
        <f>VLOOKUP($AP15,Tabelle1!$B$4:$AE$144,12,0)*$AQ15</f>
        <v>0</v>
      </c>
      <c r="AS15" s="78">
        <f>VLOOKUP($AP15,Tabelle1!$B$4:$W$144,3,0)*$AR15</f>
        <v>0</v>
      </c>
      <c r="AT15" s="79">
        <f>VLOOKUP($AP15,Tabelle1!$B$4:$W$144,4,0)*$AR15</f>
        <v>0</v>
      </c>
      <c r="AU15" s="80">
        <f>VLOOKUP($AP15,Tabelle1!$B$4:$W$144,5,0)*$AR15</f>
        <v>0</v>
      </c>
      <c r="AV15" s="80">
        <f>VLOOKUP($AP15,Tabelle1!$B$4:$W$144,6,0)*$AR15</f>
        <v>0</v>
      </c>
      <c r="AW15" s="81">
        <f>VLOOKUP($AP15,Tabelle1!$B$4:$W$144,7,0)*$AR15</f>
        <v>0</v>
      </c>
      <c r="AX15" s="87">
        <f t="shared" si="0"/>
        <v>0</v>
      </c>
      <c r="AY15" s="83">
        <f>VLOOKUP($AP15,Tabelle1!$B$4:$W$144,8,0)*$AQ15</f>
        <v>0</v>
      </c>
      <c r="AZ15" s="84">
        <f>VLOOKUP($AP15,Tabelle1!$B$4:$W$144,9,0)*$AQ15</f>
        <v>0</v>
      </c>
      <c r="BA15" s="85">
        <f>VLOOKUP($AP15,Tabelle1!$B$4:$W$144,10,0)*$AQ15</f>
        <v>0</v>
      </c>
      <c r="BB15" s="86">
        <f>VLOOKUP($AP15,Tabelle1!$B$4:$W$144,11,0)*$AQ15</f>
        <v>0</v>
      </c>
      <c r="BC15" s="116">
        <f>VLOOKUP($AP15,Tabelle1!$B$4:$W$144,12,0)*$AQ15</f>
        <v>0</v>
      </c>
      <c r="BD15" s="79">
        <f>VLOOKUP($AP15,Tabelle1!$B$4:$W$144,13,0)*$AR15</f>
        <v>0</v>
      </c>
      <c r="BE15" s="80">
        <f>VLOOKUP($AP15,Tabelle1!$B$4:$W$144,14,0)*$AR15</f>
        <v>0</v>
      </c>
      <c r="BF15" s="80">
        <f>VLOOKUP($AP15,Tabelle1!$B$4:$W$144,15,0)*$AR15</f>
        <v>0</v>
      </c>
      <c r="BG15" s="80">
        <f>VLOOKUP($AP15,Tabelle1!$B$4:$W$144,16,0)*$AR15</f>
        <v>0</v>
      </c>
      <c r="BH15" s="81">
        <f>VLOOKUP($AP15,Tabelle1!$B$4:$W$144,17,0)*$AR15</f>
        <v>0</v>
      </c>
      <c r="BI15" s="87">
        <f t="shared" si="1"/>
        <v>0</v>
      </c>
      <c r="BJ15" s="88">
        <f>VLOOKUP($AP15,Tabelle1!$B$4:$W$144,18,0)*$AR15</f>
        <v>0</v>
      </c>
      <c r="BK15" s="15">
        <f>VLOOKUP($AP15,Tabelle1!$B$4:$W$144,19,0)*$AR15</f>
        <v>0</v>
      </c>
      <c r="BL15" s="15">
        <f>VLOOKUP($AP15,Tabelle1!$B$4:$W$144,20,0)*$AR15</f>
        <v>0</v>
      </c>
      <c r="BM15" s="15">
        <f>VLOOKUP($AP15,Tabelle1!$B$4:$W$144,21,0)*$AR15</f>
        <v>0</v>
      </c>
      <c r="BN15" s="89">
        <f>VLOOKUP($AP15,Tabelle1!$B$4:$W$144,22,0)*$AR15</f>
        <v>0</v>
      </c>
      <c r="BO15" s="90">
        <f t="shared" si="2"/>
        <v>0</v>
      </c>
      <c r="BP15" s="91">
        <f>Tiere!K15</f>
        <v>0</v>
      </c>
      <c r="BQ15" s="92">
        <f>Tiere!L15</f>
        <v>0</v>
      </c>
      <c r="BR15" s="91">
        <f>Tiere!M15</f>
        <v>0</v>
      </c>
      <c r="BS15" s="77">
        <f>Tiere!N15</f>
        <v>0</v>
      </c>
      <c r="BT15" s="117">
        <f t="shared" si="3"/>
        <v>0</v>
      </c>
      <c r="BU15" s="117">
        <f t="shared" si="4"/>
        <v>0</v>
      </c>
      <c r="BV15" s="78">
        <f t="shared" si="5"/>
        <v>0</v>
      </c>
      <c r="BW15" s="79">
        <f t="shared" si="6"/>
        <v>0</v>
      </c>
      <c r="BX15" s="80">
        <f t="shared" si="7"/>
        <v>0</v>
      </c>
      <c r="BY15" s="80">
        <f t="shared" si="8"/>
        <v>0</v>
      </c>
      <c r="BZ15" s="94">
        <f t="shared" si="9"/>
        <v>0</v>
      </c>
      <c r="CA15" s="87">
        <f t="shared" si="10"/>
        <v>0</v>
      </c>
      <c r="CB15" s="86">
        <f t="shared" si="11"/>
        <v>0</v>
      </c>
      <c r="CC15" s="86">
        <f t="shared" si="12"/>
        <v>0</v>
      </c>
      <c r="CD15" s="86">
        <f t="shared" si="13"/>
        <v>0</v>
      </c>
      <c r="CE15" s="86">
        <f t="shared" si="14"/>
        <v>0</v>
      </c>
      <c r="CF15" s="95">
        <f t="shared" si="15"/>
        <v>0</v>
      </c>
      <c r="CG15" s="87">
        <f t="shared" si="16"/>
        <v>0</v>
      </c>
      <c r="CH15" s="78">
        <f t="shared" si="17"/>
        <v>0</v>
      </c>
      <c r="CI15" s="79">
        <f t="shared" si="18"/>
        <v>0</v>
      </c>
      <c r="CJ15" s="80">
        <f t="shared" si="19"/>
        <v>0</v>
      </c>
      <c r="CK15" s="80">
        <f t="shared" si="20"/>
        <v>0</v>
      </c>
      <c r="CL15" s="94">
        <f t="shared" si="21"/>
        <v>0</v>
      </c>
      <c r="CM15" s="78">
        <f t="shared" si="22"/>
        <v>0</v>
      </c>
      <c r="CN15" s="79">
        <f t="shared" si="23"/>
        <v>0</v>
      </c>
      <c r="CO15" s="80">
        <f t="shared" si="24"/>
        <v>0</v>
      </c>
      <c r="CP15" s="80">
        <f t="shared" si="25"/>
        <v>0</v>
      </c>
      <c r="CQ15" s="94">
        <f t="shared" si="26"/>
        <v>0</v>
      </c>
      <c r="CR15" s="78">
        <f t="shared" si="27"/>
        <v>0</v>
      </c>
      <c r="CS15" s="79">
        <f t="shared" si="28"/>
        <v>0</v>
      </c>
      <c r="CT15" s="80">
        <f t="shared" si="29"/>
        <v>0</v>
      </c>
      <c r="CU15" s="80">
        <f t="shared" si="30"/>
        <v>0</v>
      </c>
      <c r="CV15" s="94">
        <f t="shared" si="31"/>
        <v>0</v>
      </c>
      <c r="CW15" s="78">
        <f t="shared" si="32"/>
        <v>0</v>
      </c>
      <c r="CX15" s="79">
        <f t="shared" si="33"/>
        <v>0</v>
      </c>
      <c r="CY15" s="80">
        <f t="shared" si="34"/>
        <v>0</v>
      </c>
      <c r="CZ15" s="80">
        <f t="shared" si="35"/>
        <v>0</v>
      </c>
      <c r="DA15" s="94">
        <f t="shared" si="36"/>
        <v>0</v>
      </c>
      <c r="DB15" s="96">
        <f>VLOOKUP($AP15,Tabelle1!$B$4:$W$144,11,0)*$BR15</f>
        <v>0</v>
      </c>
      <c r="DC15" s="97">
        <f t="shared" si="37"/>
        <v>0</v>
      </c>
      <c r="DD15" s="98">
        <f>VLOOKUP($AP15,Tabelle1!$B$4:$AJ$144,35,0)</f>
        <v>0</v>
      </c>
      <c r="DE15" s="99">
        <f t="shared" si="38"/>
        <v>0</v>
      </c>
      <c r="DF15" s="100">
        <f>VLOOKUP($AP15,Tabelle1!$B$4:$AK$144,36,0)</f>
        <v>0</v>
      </c>
      <c r="DG15" s="101">
        <f t="shared" si="39"/>
        <v>0</v>
      </c>
      <c r="DH15">
        <f t="shared" si="40"/>
        <v>0</v>
      </c>
    </row>
    <row r="16" spans="1:112" ht="14.25">
      <c r="A16" s="1">
        <v>12</v>
      </c>
      <c r="B16" s="102" t="str">
        <f t="shared" si="41"/>
        <v>12 - Ochsen, Stiere - Mist/Jauche</v>
      </c>
      <c r="C16" s="103" t="s">
        <v>84</v>
      </c>
      <c r="D16" s="104"/>
      <c r="E16" s="105"/>
      <c r="F16" s="105"/>
      <c r="G16" s="105">
        <v>22.5</v>
      </c>
      <c r="H16" s="106">
        <v>22.6</v>
      </c>
      <c r="I16" s="107"/>
      <c r="J16" s="15">
        <v>3.5</v>
      </c>
      <c r="K16" s="108">
        <v>3.5</v>
      </c>
      <c r="L16" s="107">
        <v>1</v>
      </c>
      <c r="M16" s="108">
        <v>1</v>
      </c>
      <c r="N16" s="107"/>
      <c r="O16" s="15"/>
      <c r="P16" s="15"/>
      <c r="Q16" s="84">
        <v>1.24</v>
      </c>
      <c r="R16" s="109">
        <v>23.56</v>
      </c>
      <c r="S16" s="95"/>
      <c r="T16" s="84"/>
      <c r="U16" s="84"/>
      <c r="V16" s="84">
        <v>28.016999999999999</v>
      </c>
      <c r="W16" s="109">
        <v>56.883000000000003</v>
      </c>
      <c r="X16" s="118"/>
      <c r="Y16" s="119"/>
      <c r="Z16" s="119"/>
      <c r="AA16" s="120"/>
      <c r="AB16" s="119"/>
      <c r="AC16" s="119"/>
      <c r="AD16" s="119"/>
      <c r="AE16" s="120"/>
      <c r="AF16" s="107"/>
      <c r="AG16" s="15">
        <v>19.600000000000001</v>
      </c>
      <c r="AH16" s="108">
        <v>20.6</v>
      </c>
      <c r="AI16" s="113" t="s">
        <v>84</v>
      </c>
      <c r="AJ16" s="114">
        <v>85</v>
      </c>
      <c r="AK16" s="115">
        <v>85</v>
      </c>
      <c r="AL16" s="100">
        <f t="shared" si="42"/>
        <v>2</v>
      </c>
      <c r="AM16" s="121" t="s">
        <v>85</v>
      </c>
      <c r="AN16" s="15" t="str">
        <f>IF(Betrieb!I10="JA","GW-SBG","")</f>
        <v/>
      </c>
      <c r="AO16" s="124">
        <f>IF(Betrieb!I10="JA",1,0)</f>
        <v>0</v>
      </c>
      <c r="AP16" s="75">
        <f>Tiere!B16</f>
        <v>0</v>
      </c>
      <c r="AQ16" s="76">
        <f>IF(AP16=0,0,Tiere!I16)</f>
        <v>0</v>
      </c>
      <c r="AR16" s="77">
        <f>VLOOKUP($AP16,Tabelle1!$B$4:$AE$144,12,0)*$AQ16</f>
        <v>0</v>
      </c>
      <c r="AS16" s="78">
        <f>VLOOKUP($AP16,Tabelle1!$B$4:$W$144,3,0)*$AR16</f>
        <v>0</v>
      </c>
      <c r="AT16" s="79">
        <f>VLOOKUP($AP16,Tabelle1!$B$4:$W$144,4,0)*$AR16</f>
        <v>0</v>
      </c>
      <c r="AU16" s="80">
        <f>VLOOKUP($AP16,Tabelle1!$B$4:$W$144,5,0)*$AR16</f>
        <v>0</v>
      </c>
      <c r="AV16" s="80">
        <f>VLOOKUP($AP16,Tabelle1!$B$4:$W$144,6,0)*$AR16</f>
        <v>0</v>
      </c>
      <c r="AW16" s="81">
        <f>VLOOKUP($AP16,Tabelle1!$B$4:$W$144,7,0)*$AR16</f>
        <v>0</v>
      </c>
      <c r="AX16" s="87">
        <f t="shared" si="0"/>
        <v>0</v>
      </c>
      <c r="AY16" s="83">
        <f>VLOOKUP($AP16,Tabelle1!$B$4:$W$144,8,0)*$AQ16</f>
        <v>0</v>
      </c>
      <c r="AZ16" s="84">
        <f>VLOOKUP($AP16,Tabelle1!$B$4:$W$144,9,0)*$AQ16</f>
        <v>0</v>
      </c>
      <c r="BA16" s="85">
        <f>VLOOKUP($AP16,Tabelle1!$B$4:$W$144,10,0)*$AQ16</f>
        <v>0</v>
      </c>
      <c r="BB16" s="86">
        <f>VLOOKUP($AP16,Tabelle1!$B$4:$W$144,11,0)*$AQ16</f>
        <v>0</v>
      </c>
      <c r="BC16" s="116">
        <f>VLOOKUP($AP16,Tabelle1!$B$4:$W$144,12,0)*$AQ16</f>
        <v>0</v>
      </c>
      <c r="BD16" s="79">
        <f>VLOOKUP($AP16,Tabelle1!$B$4:$W$144,13,0)*$AR16</f>
        <v>0</v>
      </c>
      <c r="BE16" s="80">
        <f>VLOOKUP($AP16,Tabelle1!$B$4:$W$144,14,0)*$AR16</f>
        <v>0</v>
      </c>
      <c r="BF16" s="80">
        <f>VLOOKUP($AP16,Tabelle1!$B$4:$W$144,15,0)*$AR16</f>
        <v>0</v>
      </c>
      <c r="BG16" s="80">
        <f>VLOOKUP($AP16,Tabelle1!$B$4:$W$144,16,0)*$AR16</f>
        <v>0</v>
      </c>
      <c r="BH16" s="81">
        <f>VLOOKUP($AP16,Tabelle1!$B$4:$W$144,17,0)*$AR16</f>
        <v>0</v>
      </c>
      <c r="BI16" s="87">
        <f t="shared" si="1"/>
        <v>0</v>
      </c>
      <c r="BJ16" s="88">
        <f>VLOOKUP($AP16,Tabelle1!$B$4:$W$144,18,0)*$AR16</f>
        <v>0</v>
      </c>
      <c r="BK16" s="15">
        <f>VLOOKUP($AP16,Tabelle1!$B$4:$W$144,19,0)*$AR16</f>
        <v>0</v>
      </c>
      <c r="BL16" s="15">
        <f>VLOOKUP($AP16,Tabelle1!$B$4:$W$144,20,0)*$AR16</f>
        <v>0</v>
      </c>
      <c r="BM16" s="15">
        <f>VLOOKUP($AP16,Tabelle1!$B$4:$W$144,21,0)*$AR16</f>
        <v>0</v>
      </c>
      <c r="BN16" s="89">
        <f>VLOOKUP($AP16,Tabelle1!$B$4:$W$144,22,0)*$AR16</f>
        <v>0</v>
      </c>
      <c r="BO16" s="90">
        <f t="shared" si="2"/>
        <v>0</v>
      </c>
      <c r="BP16" s="91">
        <f>Tiere!K16</f>
        <v>0</v>
      </c>
      <c r="BQ16" s="92">
        <f>Tiere!L16</f>
        <v>0</v>
      </c>
      <c r="BR16" s="91">
        <f>Tiere!M16</f>
        <v>0</v>
      </c>
      <c r="BS16" s="77">
        <f>Tiere!N16</f>
        <v>0</v>
      </c>
      <c r="BT16" s="117">
        <f t="shared" si="3"/>
        <v>0</v>
      </c>
      <c r="BU16" s="117">
        <f t="shared" si="4"/>
        <v>0</v>
      </c>
      <c r="BV16" s="78">
        <f t="shared" si="5"/>
        <v>0</v>
      </c>
      <c r="BW16" s="79">
        <f t="shared" si="6"/>
        <v>0</v>
      </c>
      <c r="BX16" s="80">
        <f t="shared" si="7"/>
        <v>0</v>
      </c>
      <c r="BY16" s="80">
        <f t="shared" si="8"/>
        <v>0</v>
      </c>
      <c r="BZ16" s="94">
        <f t="shared" si="9"/>
        <v>0</v>
      </c>
      <c r="CA16" s="87">
        <f t="shared" si="10"/>
        <v>0</v>
      </c>
      <c r="CB16" s="86">
        <f t="shared" si="11"/>
        <v>0</v>
      </c>
      <c r="CC16" s="86">
        <f t="shared" si="12"/>
        <v>0</v>
      </c>
      <c r="CD16" s="86">
        <f t="shared" si="13"/>
        <v>0</v>
      </c>
      <c r="CE16" s="86">
        <f t="shared" si="14"/>
        <v>0</v>
      </c>
      <c r="CF16" s="95">
        <f t="shared" si="15"/>
        <v>0</v>
      </c>
      <c r="CG16" s="87">
        <f t="shared" si="16"/>
        <v>0</v>
      </c>
      <c r="CH16" s="78">
        <f t="shared" si="17"/>
        <v>0</v>
      </c>
      <c r="CI16" s="79">
        <f t="shared" si="18"/>
        <v>0</v>
      </c>
      <c r="CJ16" s="80">
        <f t="shared" si="19"/>
        <v>0</v>
      </c>
      <c r="CK16" s="80">
        <f t="shared" si="20"/>
        <v>0</v>
      </c>
      <c r="CL16" s="94">
        <f t="shared" si="21"/>
        <v>0</v>
      </c>
      <c r="CM16" s="78">
        <f t="shared" si="22"/>
        <v>0</v>
      </c>
      <c r="CN16" s="79">
        <f t="shared" si="23"/>
        <v>0</v>
      </c>
      <c r="CO16" s="80">
        <f t="shared" si="24"/>
        <v>0</v>
      </c>
      <c r="CP16" s="80">
        <f t="shared" si="25"/>
        <v>0</v>
      </c>
      <c r="CQ16" s="94">
        <f t="shared" si="26"/>
        <v>0</v>
      </c>
      <c r="CR16" s="78">
        <f t="shared" si="27"/>
        <v>0</v>
      </c>
      <c r="CS16" s="79">
        <f t="shared" si="28"/>
        <v>0</v>
      </c>
      <c r="CT16" s="80">
        <f t="shared" si="29"/>
        <v>0</v>
      </c>
      <c r="CU16" s="80">
        <f t="shared" si="30"/>
        <v>0</v>
      </c>
      <c r="CV16" s="94">
        <f t="shared" si="31"/>
        <v>0</v>
      </c>
      <c r="CW16" s="78">
        <f t="shared" si="32"/>
        <v>0</v>
      </c>
      <c r="CX16" s="79">
        <f t="shared" si="33"/>
        <v>0</v>
      </c>
      <c r="CY16" s="80">
        <f t="shared" si="34"/>
        <v>0</v>
      </c>
      <c r="CZ16" s="80">
        <f t="shared" si="35"/>
        <v>0</v>
      </c>
      <c r="DA16" s="94">
        <f t="shared" si="36"/>
        <v>0</v>
      </c>
      <c r="DB16" s="96">
        <f>VLOOKUP($AP16,Tabelle1!$B$4:$W$144,11,0)*$BR16</f>
        <v>0</v>
      </c>
      <c r="DC16" s="97">
        <f t="shared" si="37"/>
        <v>0</v>
      </c>
      <c r="DD16" s="98">
        <f>VLOOKUP($AP16,Tabelle1!$B$4:$AJ$144,35,0)</f>
        <v>0</v>
      </c>
      <c r="DE16" s="99">
        <f t="shared" si="38"/>
        <v>0</v>
      </c>
      <c r="DF16" s="100">
        <f>VLOOKUP($AP16,Tabelle1!$B$4:$AK$144,36,0)</f>
        <v>0</v>
      </c>
      <c r="DG16" s="101">
        <f t="shared" si="39"/>
        <v>0</v>
      </c>
      <c r="DH16">
        <f t="shared" si="40"/>
        <v>0</v>
      </c>
    </row>
    <row r="17" spans="1:112">
      <c r="A17" s="1">
        <v>13</v>
      </c>
      <c r="B17" s="102" t="str">
        <f t="shared" si="41"/>
        <v>13 - Ochsen, Stiere - Tiefstallmist</v>
      </c>
      <c r="C17" s="103" t="s">
        <v>86</v>
      </c>
      <c r="D17" s="104"/>
      <c r="E17" s="105"/>
      <c r="F17" s="105"/>
      <c r="G17" s="105"/>
      <c r="H17" s="106">
        <v>45.1</v>
      </c>
      <c r="I17" s="107"/>
      <c r="J17" s="15"/>
      <c r="K17" s="108">
        <v>7.7</v>
      </c>
      <c r="L17" s="107">
        <v>1</v>
      </c>
      <c r="M17" s="108">
        <v>1</v>
      </c>
      <c r="N17" s="107"/>
      <c r="O17" s="15"/>
      <c r="P17" s="15"/>
      <c r="Q17" s="84"/>
      <c r="R17" s="109">
        <v>24.8</v>
      </c>
      <c r="S17" s="95"/>
      <c r="T17" s="84"/>
      <c r="U17" s="84"/>
      <c r="V17" s="84"/>
      <c r="W17" s="109">
        <v>84.9</v>
      </c>
      <c r="X17" s="118"/>
      <c r="Y17" s="119"/>
      <c r="Z17" s="119"/>
      <c r="AA17" s="120"/>
      <c r="AB17" s="119"/>
      <c r="AC17" s="119"/>
      <c r="AD17" s="119"/>
      <c r="AE17" s="120"/>
      <c r="AF17" s="107"/>
      <c r="AG17" s="15"/>
      <c r="AH17" s="108">
        <v>41</v>
      </c>
      <c r="AI17" s="113" t="s">
        <v>86</v>
      </c>
      <c r="AJ17" s="114">
        <v>85</v>
      </c>
      <c r="AK17" s="115">
        <v>85</v>
      </c>
      <c r="AL17" s="100">
        <f t="shared" si="42"/>
        <v>2</v>
      </c>
      <c r="AM17" s="8"/>
      <c r="AN17" s="15" t="str">
        <f>IF(Betrieb!I11="JA","N-zehrend","")</f>
        <v>N-zehrend</v>
      </c>
      <c r="AO17" s="124">
        <f>IF(Betrieb!I11="JA",1,0)</f>
        <v>1</v>
      </c>
      <c r="AP17" s="75">
        <f>Tiere!B17</f>
        <v>0</v>
      </c>
      <c r="AQ17" s="76">
        <f>IF(AP17=0,0,Tiere!I17)</f>
        <v>0</v>
      </c>
      <c r="AR17" s="77">
        <f>VLOOKUP($AP17,Tabelle1!$B$4:$AE$144,12,0)*$AQ17</f>
        <v>0</v>
      </c>
      <c r="AS17" s="78">
        <f>VLOOKUP($AP17,Tabelle1!$B$4:$W$144,3,0)*$AR17</f>
        <v>0</v>
      </c>
      <c r="AT17" s="79">
        <f>VLOOKUP($AP17,Tabelle1!$B$4:$W$144,4,0)*$AR17</f>
        <v>0</v>
      </c>
      <c r="AU17" s="80">
        <f>VLOOKUP($AP17,Tabelle1!$B$4:$W$144,5,0)*$AR17</f>
        <v>0</v>
      </c>
      <c r="AV17" s="80">
        <f>VLOOKUP($AP17,Tabelle1!$B$4:$W$144,6,0)*$AR17</f>
        <v>0</v>
      </c>
      <c r="AW17" s="81">
        <f>VLOOKUP($AP17,Tabelle1!$B$4:$W$144,7,0)*$AR17</f>
        <v>0</v>
      </c>
      <c r="AX17" s="87">
        <f t="shared" si="0"/>
        <v>0</v>
      </c>
      <c r="AY17" s="83">
        <f>VLOOKUP($AP17,Tabelle1!$B$4:$W$144,8,0)*$AQ17</f>
        <v>0</v>
      </c>
      <c r="AZ17" s="84">
        <f>VLOOKUP($AP17,Tabelle1!$B$4:$W$144,9,0)*$AQ17</f>
        <v>0</v>
      </c>
      <c r="BA17" s="85">
        <f>VLOOKUP($AP17,Tabelle1!$B$4:$W$144,10,0)*$AQ17</f>
        <v>0</v>
      </c>
      <c r="BB17" s="86">
        <f>VLOOKUP($AP17,Tabelle1!$B$4:$W$144,11,0)*$AQ17</f>
        <v>0</v>
      </c>
      <c r="BC17" s="116">
        <f>VLOOKUP($AP17,Tabelle1!$B$4:$W$144,12,0)*$AQ17</f>
        <v>0</v>
      </c>
      <c r="BD17" s="79">
        <f>VLOOKUP($AP17,Tabelle1!$B$4:$W$144,13,0)*$AR17</f>
        <v>0</v>
      </c>
      <c r="BE17" s="80">
        <f>VLOOKUP($AP17,Tabelle1!$B$4:$W$144,14,0)*$AR17</f>
        <v>0</v>
      </c>
      <c r="BF17" s="80">
        <f>VLOOKUP($AP17,Tabelle1!$B$4:$W$144,15,0)*$AR17</f>
        <v>0</v>
      </c>
      <c r="BG17" s="80">
        <f>VLOOKUP($AP17,Tabelle1!$B$4:$W$144,16,0)*$AR17</f>
        <v>0</v>
      </c>
      <c r="BH17" s="81">
        <f>VLOOKUP($AP17,Tabelle1!$B$4:$W$144,17,0)*$AR17</f>
        <v>0</v>
      </c>
      <c r="BI17" s="87">
        <f t="shared" si="1"/>
        <v>0</v>
      </c>
      <c r="BJ17" s="88">
        <f>VLOOKUP($AP17,Tabelle1!$B$4:$W$144,18,0)*$AR17</f>
        <v>0</v>
      </c>
      <c r="BK17" s="15">
        <f>VLOOKUP($AP17,Tabelle1!$B$4:$W$144,19,0)*$AR17</f>
        <v>0</v>
      </c>
      <c r="BL17" s="15">
        <f>VLOOKUP($AP17,Tabelle1!$B$4:$W$144,20,0)*$AR17</f>
        <v>0</v>
      </c>
      <c r="BM17" s="15">
        <f>VLOOKUP($AP17,Tabelle1!$B$4:$W$144,21,0)*$AR17</f>
        <v>0</v>
      </c>
      <c r="BN17" s="89">
        <f>VLOOKUP($AP17,Tabelle1!$B$4:$W$144,22,0)*$AR17</f>
        <v>0</v>
      </c>
      <c r="BO17" s="90">
        <f t="shared" si="2"/>
        <v>0</v>
      </c>
      <c r="BP17" s="91">
        <f>Tiere!K17</f>
        <v>0</v>
      </c>
      <c r="BQ17" s="92">
        <f>Tiere!L17</f>
        <v>0</v>
      </c>
      <c r="BR17" s="91">
        <f>Tiere!M17</f>
        <v>0</v>
      </c>
      <c r="BS17" s="77">
        <f>Tiere!N17</f>
        <v>0</v>
      </c>
      <c r="BT17" s="117">
        <f t="shared" si="3"/>
        <v>0</v>
      </c>
      <c r="BU17" s="117">
        <f t="shared" si="4"/>
        <v>0</v>
      </c>
      <c r="BV17" s="78">
        <f t="shared" si="5"/>
        <v>0</v>
      </c>
      <c r="BW17" s="79">
        <f t="shared" si="6"/>
        <v>0</v>
      </c>
      <c r="BX17" s="80">
        <f t="shared" si="7"/>
        <v>0</v>
      </c>
      <c r="BY17" s="80">
        <f t="shared" si="8"/>
        <v>0</v>
      </c>
      <c r="BZ17" s="94">
        <f t="shared" si="9"/>
        <v>0</v>
      </c>
      <c r="CA17" s="87">
        <f t="shared" si="10"/>
        <v>0</v>
      </c>
      <c r="CB17" s="86">
        <f t="shared" si="11"/>
        <v>0</v>
      </c>
      <c r="CC17" s="86">
        <f t="shared" si="12"/>
        <v>0</v>
      </c>
      <c r="CD17" s="86">
        <f t="shared" si="13"/>
        <v>0</v>
      </c>
      <c r="CE17" s="86">
        <f t="shared" si="14"/>
        <v>0</v>
      </c>
      <c r="CF17" s="95">
        <f t="shared" si="15"/>
        <v>0</v>
      </c>
      <c r="CG17" s="87">
        <f t="shared" si="16"/>
        <v>0</v>
      </c>
      <c r="CH17" s="78">
        <f t="shared" si="17"/>
        <v>0</v>
      </c>
      <c r="CI17" s="79">
        <f t="shared" si="18"/>
        <v>0</v>
      </c>
      <c r="CJ17" s="80">
        <f t="shared" si="19"/>
        <v>0</v>
      </c>
      <c r="CK17" s="80">
        <f t="shared" si="20"/>
        <v>0</v>
      </c>
      <c r="CL17" s="94">
        <f t="shared" si="21"/>
        <v>0</v>
      </c>
      <c r="CM17" s="78">
        <f t="shared" si="22"/>
        <v>0</v>
      </c>
      <c r="CN17" s="79">
        <f t="shared" si="23"/>
        <v>0</v>
      </c>
      <c r="CO17" s="80">
        <f t="shared" si="24"/>
        <v>0</v>
      </c>
      <c r="CP17" s="80">
        <f t="shared" si="25"/>
        <v>0</v>
      </c>
      <c r="CQ17" s="94">
        <f t="shared" si="26"/>
        <v>0</v>
      </c>
      <c r="CR17" s="78">
        <f t="shared" si="27"/>
        <v>0</v>
      </c>
      <c r="CS17" s="79">
        <f t="shared" si="28"/>
        <v>0</v>
      </c>
      <c r="CT17" s="80">
        <f t="shared" si="29"/>
        <v>0</v>
      </c>
      <c r="CU17" s="80">
        <f t="shared" si="30"/>
        <v>0</v>
      </c>
      <c r="CV17" s="94">
        <f t="shared" si="31"/>
        <v>0</v>
      </c>
      <c r="CW17" s="78">
        <f t="shared" si="32"/>
        <v>0</v>
      </c>
      <c r="CX17" s="79">
        <f t="shared" si="33"/>
        <v>0</v>
      </c>
      <c r="CY17" s="80">
        <f t="shared" si="34"/>
        <v>0</v>
      </c>
      <c r="CZ17" s="80">
        <f t="shared" si="35"/>
        <v>0</v>
      </c>
      <c r="DA17" s="94">
        <f t="shared" si="36"/>
        <v>0</v>
      </c>
      <c r="DB17" s="96">
        <f>VLOOKUP($AP17,Tabelle1!$B$4:$W$144,11,0)*$BR17</f>
        <v>0</v>
      </c>
      <c r="DC17" s="97">
        <f t="shared" si="37"/>
        <v>0</v>
      </c>
      <c r="DD17" s="98">
        <f>VLOOKUP($AP17,Tabelle1!$B$4:$AJ$144,35,0)</f>
        <v>0</v>
      </c>
      <c r="DE17" s="99">
        <f t="shared" si="38"/>
        <v>0</v>
      </c>
      <c r="DF17" s="100">
        <f>VLOOKUP($AP17,Tabelle1!$B$4:$AK$144,36,0)</f>
        <v>0</v>
      </c>
      <c r="DG17" s="101">
        <f t="shared" si="39"/>
        <v>0</v>
      </c>
      <c r="DH17">
        <f t="shared" si="40"/>
        <v>0</v>
      </c>
    </row>
    <row r="18" spans="1:112" ht="14.25">
      <c r="A18" s="1">
        <v>14</v>
      </c>
      <c r="B18" s="102" t="str">
        <f t="shared" si="41"/>
        <v>14 - Kalbinnen - Gülle</v>
      </c>
      <c r="C18" s="103" t="s">
        <v>87</v>
      </c>
      <c r="D18" s="104">
        <v>58.9</v>
      </c>
      <c r="E18" s="105"/>
      <c r="F18" s="105"/>
      <c r="G18" s="105"/>
      <c r="H18" s="106"/>
      <c r="I18" s="107">
        <v>7.65</v>
      </c>
      <c r="J18" s="15"/>
      <c r="K18" s="108"/>
      <c r="L18" s="107">
        <v>1</v>
      </c>
      <c r="M18" s="108">
        <v>1</v>
      </c>
      <c r="N18" s="107">
        <v>25.5</v>
      </c>
      <c r="O18" s="15"/>
      <c r="P18" s="15"/>
      <c r="Q18" s="84"/>
      <c r="R18" s="109"/>
      <c r="S18" s="95">
        <v>104.2</v>
      </c>
      <c r="T18" s="84"/>
      <c r="U18" s="84"/>
      <c r="V18" s="84"/>
      <c r="W18" s="109"/>
      <c r="X18" s="118"/>
      <c r="Y18" s="119"/>
      <c r="Z18" s="119"/>
      <c r="AA18" s="120"/>
      <c r="AB18" s="119"/>
      <c r="AC18" s="119"/>
      <c r="AD18" s="119"/>
      <c r="AE18" s="120"/>
      <c r="AF18" s="107">
        <v>51.2</v>
      </c>
      <c r="AG18" s="15"/>
      <c r="AH18" s="108"/>
      <c r="AI18" s="113" t="s">
        <v>87</v>
      </c>
      <c r="AJ18" s="114">
        <v>68</v>
      </c>
      <c r="AK18" s="115">
        <v>68</v>
      </c>
      <c r="AL18" s="100">
        <f t="shared" si="42"/>
        <v>2.5</v>
      </c>
      <c r="AM18" s="130" t="s">
        <v>88</v>
      </c>
      <c r="AN18" s="75" t="str">
        <f>IF(Tiere!G32=0,"LN-Angaben fehelen!","")</f>
        <v>LN-Angaben fehelen!</v>
      </c>
      <c r="AP18" s="75">
        <f>Tiere!B18</f>
        <v>0</v>
      </c>
      <c r="AQ18" s="76">
        <f>IF(AP18=0,0,Tiere!I18)</f>
        <v>0</v>
      </c>
      <c r="AR18" s="77">
        <f>VLOOKUP($AP18,Tabelle1!$B$4:$AE$144,12,0)*$AQ18</f>
        <v>0</v>
      </c>
      <c r="AS18" s="78">
        <f>VLOOKUP($AP18,Tabelle1!$B$4:$W$144,3,0)*$AR18</f>
        <v>0</v>
      </c>
      <c r="AT18" s="79">
        <f>VLOOKUP($AP18,Tabelle1!$B$4:$W$144,4,0)*$AR18</f>
        <v>0</v>
      </c>
      <c r="AU18" s="80">
        <f>VLOOKUP($AP18,Tabelle1!$B$4:$W$144,5,0)*$AR18</f>
        <v>0</v>
      </c>
      <c r="AV18" s="80">
        <f>VLOOKUP($AP18,Tabelle1!$B$4:$W$144,6,0)*$AR18</f>
        <v>0</v>
      </c>
      <c r="AW18" s="81">
        <f>VLOOKUP($AP18,Tabelle1!$B$4:$W$144,7,0)*$AR18</f>
        <v>0</v>
      </c>
      <c r="AX18" s="87">
        <f t="shared" si="0"/>
        <v>0</v>
      </c>
      <c r="AY18" s="83">
        <f>VLOOKUP($AP18,Tabelle1!$B$4:$W$144,8,0)*$AQ18</f>
        <v>0</v>
      </c>
      <c r="AZ18" s="84">
        <f>VLOOKUP($AP18,Tabelle1!$B$4:$W$144,9,0)*$AQ18</f>
        <v>0</v>
      </c>
      <c r="BA18" s="85">
        <f>VLOOKUP($AP18,Tabelle1!$B$4:$W$144,10,0)*$AQ18</f>
        <v>0</v>
      </c>
      <c r="BB18" s="86">
        <f>VLOOKUP($AP18,Tabelle1!$B$4:$W$144,11,0)*$AQ18</f>
        <v>0</v>
      </c>
      <c r="BC18" s="116">
        <f>VLOOKUP($AP18,Tabelle1!$B$4:$W$144,12,0)*$AQ18</f>
        <v>0</v>
      </c>
      <c r="BD18" s="79">
        <f>VLOOKUP($AP18,Tabelle1!$B$4:$W$144,13,0)*$AR18</f>
        <v>0</v>
      </c>
      <c r="BE18" s="80">
        <f>VLOOKUP($AP18,Tabelle1!$B$4:$W$144,14,0)*$AR18</f>
        <v>0</v>
      </c>
      <c r="BF18" s="80">
        <f>VLOOKUP($AP18,Tabelle1!$B$4:$W$144,15,0)*$AR18</f>
        <v>0</v>
      </c>
      <c r="BG18" s="80">
        <f>VLOOKUP($AP18,Tabelle1!$B$4:$W$144,16,0)*$AR18</f>
        <v>0</v>
      </c>
      <c r="BH18" s="81">
        <f>VLOOKUP($AP18,Tabelle1!$B$4:$W$144,17,0)*$AR18</f>
        <v>0</v>
      </c>
      <c r="BI18" s="87">
        <f t="shared" si="1"/>
        <v>0</v>
      </c>
      <c r="BJ18" s="88">
        <f>VLOOKUP($AP18,Tabelle1!$B$4:$W$144,18,0)*$AR18</f>
        <v>0</v>
      </c>
      <c r="BK18" s="15">
        <f>VLOOKUP($AP18,Tabelle1!$B$4:$W$144,19,0)*$AR18</f>
        <v>0</v>
      </c>
      <c r="BL18" s="15">
        <f>VLOOKUP($AP18,Tabelle1!$B$4:$W$144,20,0)*$AR18</f>
        <v>0</v>
      </c>
      <c r="BM18" s="15">
        <f>VLOOKUP($AP18,Tabelle1!$B$4:$W$144,21,0)*$AR18</f>
        <v>0</v>
      </c>
      <c r="BN18" s="89">
        <f>VLOOKUP($AP18,Tabelle1!$B$4:$W$144,22,0)*$AR18</f>
        <v>0</v>
      </c>
      <c r="BO18" s="90">
        <f t="shared" si="2"/>
        <v>0</v>
      </c>
      <c r="BP18" s="91">
        <f>Tiere!K18</f>
        <v>0</v>
      </c>
      <c r="BQ18" s="92">
        <f>Tiere!L18</f>
        <v>0</v>
      </c>
      <c r="BR18" s="91">
        <f>Tiere!M18</f>
        <v>0</v>
      </c>
      <c r="BS18" s="77">
        <f>Tiere!N18</f>
        <v>0</v>
      </c>
      <c r="BT18" s="117">
        <f t="shared" si="3"/>
        <v>0</v>
      </c>
      <c r="BU18" s="117">
        <f t="shared" si="4"/>
        <v>0</v>
      </c>
      <c r="BV18" s="78">
        <f t="shared" si="5"/>
        <v>0</v>
      </c>
      <c r="BW18" s="79">
        <f t="shared" si="6"/>
        <v>0</v>
      </c>
      <c r="BX18" s="80">
        <f t="shared" si="7"/>
        <v>0</v>
      </c>
      <c r="BY18" s="80">
        <f t="shared" si="8"/>
        <v>0</v>
      </c>
      <c r="BZ18" s="94">
        <f t="shared" si="9"/>
        <v>0</v>
      </c>
      <c r="CA18" s="87">
        <f t="shared" si="10"/>
        <v>0</v>
      </c>
      <c r="CB18" s="86">
        <f t="shared" si="11"/>
        <v>0</v>
      </c>
      <c r="CC18" s="86">
        <f t="shared" si="12"/>
        <v>0</v>
      </c>
      <c r="CD18" s="86">
        <f t="shared" si="13"/>
        <v>0</v>
      </c>
      <c r="CE18" s="86">
        <f t="shared" si="14"/>
        <v>0</v>
      </c>
      <c r="CF18" s="95">
        <f t="shared" si="15"/>
        <v>0</v>
      </c>
      <c r="CG18" s="87">
        <f t="shared" si="16"/>
        <v>0</v>
      </c>
      <c r="CH18" s="78">
        <f t="shared" si="17"/>
        <v>0</v>
      </c>
      <c r="CI18" s="79">
        <f t="shared" si="18"/>
        <v>0</v>
      </c>
      <c r="CJ18" s="80">
        <f t="shared" si="19"/>
        <v>0</v>
      </c>
      <c r="CK18" s="80">
        <f t="shared" si="20"/>
        <v>0</v>
      </c>
      <c r="CL18" s="94">
        <f t="shared" si="21"/>
        <v>0</v>
      </c>
      <c r="CM18" s="78">
        <f t="shared" si="22"/>
        <v>0</v>
      </c>
      <c r="CN18" s="79">
        <f t="shared" si="23"/>
        <v>0</v>
      </c>
      <c r="CO18" s="80">
        <f t="shared" si="24"/>
        <v>0</v>
      </c>
      <c r="CP18" s="80">
        <f t="shared" si="25"/>
        <v>0</v>
      </c>
      <c r="CQ18" s="94">
        <f t="shared" si="26"/>
        <v>0</v>
      </c>
      <c r="CR18" s="78">
        <f t="shared" si="27"/>
        <v>0</v>
      </c>
      <c r="CS18" s="79">
        <f t="shared" si="28"/>
        <v>0</v>
      </c>
      <c r="CT18" s="80">
        <f t="shared" si="29"/>
        <v>0</v>
      </c>
      <c r="CU18" s="80">
        <f t="shared" si="30"/>
        <v>0</v>
      </c>
      <c r="CV18" s="94">
        <f t="shared" si="31"/>
        <v>0</v>
      </c>
      <c r="CW18" s="78">
        <f t="shared" si="32"/>
        <v>0</v>
      </c>
      <c r="CX18" s="79">
        <f t="shared" si="33"/>
        <v>0</v>
      </c>
      <c r="CY18" s="80">
        <f t="shared" si="34"/>
        <v>0</v>
      </c>
      <c r="CZ18" s="80">
        <f t="shared" si="35"/>
        <v>0</v>
      </c>
      <c r="DA18" s="94">
        <f t="shared" si="36"/>
        <v>0</v>
      </c>
      <c r="DB18" s="96">
        <f>VLOOKUP($AP18,Tabelle1!$B$4:$W$144,11,0)*$BR18</f>
        <v>0</v>
      </c>
      <c r="DC18" s="97">
        <f t="shared" si="37"/>
        <v>0</v>
      </c>
      <c r="DD18" s="98">
        <f>VLOOKUP($AP18,Tabelle1!$B$4:$AJ$144,35,0)</f>
        <v>0</v>
      </c>
      <c r="DE18" s="99">
        <f t="shared" si="38"/>
        <v>0</v>
      </c>
      <c r="DF18" s="100">
        <f>VLOOKUP($AP18,Tabelle1!$B$4:$AK$144,36,0)</f>
        <v>0</v>
      </c>
      <c r="DG18" s="101">
        <f t="shared" si="39"/>
        <v>0</v>
      </c>
      <c r="DH18">
        <f t="shared" si="40"/>
        <v>0</v>
      </c>
    </row>
    <row r="19" spans="1:112" ht="15" thickBot="1">
      <c r="A19" s="1">
        <v>15</v>
      </c>
      <c r="B19" s="102" t="str">
        <f t="shared" si="41"/>
        <v>15 - Kalbinnen - Mist/Jauche</v>
      </c>
      <c r="C19" s="103" t="s">
        <v>89</v>
      </c>
      <c r="D19" s="104"/>
      <c r="E19" s="105"/>
      <c r="F19" s="105"/>
      <c r="G19" s="105">
        <v>24.2</v>
      </c>
      <c r="H19" s="106">
        <v>24.3</v>
      </c>
      <c r="I19" s="107"/>
      <c r="J19" s="15">
        <v>3.8</v>
      </c>
      <c r="K19" s="108">
        <v>3.8</v>
      </c>
      <c r="L19" s="107">
        <v>1</v>
      </c>
      <c r="M19" s="108">
        <v>1</v>
      </c>
      <c r="N19" s="107"/>
      <c r="O19" s="15"/>
      <c r="P19" s="15"/>
      <c r="Q19" s="84">
        <v>1.2749999999999999</v>
      </c>
      <c r="R19" s="109">
        <v>24.225000000000001</v>
      </c>
      <c r="S19" s="95"/>
      <c r="T19" s="84"/>
      <c r="U19" s="84"/>
      <c r="V19" s="84">
        <v>34.386000000000003</v>
      </c>
      <c r="W19" s="109">
        <v>69.813999999999993</v>
      </c>
      <c r="X19" s="118"/>
      <c r="Y19" s="119"/>
      <c r="Z19" s="119"/>
      <c r="AA19" s="120"/>
      <c r="AB19" s="119"/>
      <c r="AC19" s="119"/>
      <c r="AD19" s="119"/>
      <c r="AE19" s="120"/>
      <c r="AF19" s="107"/>
      <c r="AG19" s="15">
        <v>21.1</v>
      </c>
      <c r="AH19" s="108">
        <v>22.1</v>
      </c>
      <c r="AI19" s="113" t="s">
        <v>89</v>
      </c>
      <c r="AJ19" s="114">
        <v>68</v>
      </c>
      <c r="AK19" s="115">
        <v>68</v>
      </c>
      <c r="AL19" s="100">
        <f t="shared" si="42"/>
        <v>2.5</v>
      </c>
      <c r="AM19" s="130" t="s">
        <v>90</v>
      </c>
      <c r="AN19" s="131"/>
      <c r="AP19" s="75">
        <f>Tiere!B19</f>
        <v>0</v>
      </c>
      <c r="AQ19" s="76">
        <f>IF(AP19=0,0,Tiere!I19)</f>
        <v>0</v>
      </c>
      <c r="AR19" s="77">
        <f>VLOOKUP($AP19,Tabelle1!$B$4:$AE$144,12,0)*$AQ19</f>
        <v>0</v>
      </c>
      <c r="AS19" s="78">
        <f>VLOOKUP($AP19,Tabelle1!$B$4:$W$144,3,0)*$AR19</f>
        <v>0</v>
      </c>
      <c r="AT19" s="79">
        <f>VLOOKUP($AP19,Tabelle1!$B$4:$W$144,4,0)*$AR19</f>
        <v>0</v>
      </c>
      <c r="AU19" s="80">
        <f>VLOOKUP($AP19,Tabelle1!$B$4:$W$144,5,0)*$AR19</f>
        <v>0</v>
      </c>
      <c r="AV19" s="80">
        <f>VLOOKUP($AP19,Tabelle1!$B$4:$W$144,6,0)*$AR19</f>
        <v>0</v>
      </c>
      <c r="AW19" s="81">
        <f>VLOOKUP($AP19,Tabelle1!$B$4:$W$144,7,0)*$AR19</f>
        <v>0</v>
      </c>
      <c r="AX19" s="87">
        <f t="shared" si="0"/>
        <v>0</v>
      </c>
      <c r="AY19" s="83">
        <f>VLOOKUP($AP19,Tabelle1!$B$4:$W$144,8,0)*$AQ19</f>
        <v>0</v>
      </c>
      <c r="AZ19" s="84">
        <f>VLOOKUP($AP19,Tabelle1!$B$4:$W$144,9,0)*$AQ19</f>
        <v>0</v>
      </c>
      <c r="BA19" s="85">
        <f>VLOOKUP($AP19,Tabelle1!$B$4:$W$144,10,0)*$AQ19</f>
        <v>0</v>
      </c>
      <c r="BB19" s="86">
        <f>VLOOKUP($AP19,Tabelle1!$B$4:$W$144,11,0)*$AQ19</f>
        <v>0</v>
      </c>
      <c r="BC19" s="116">
        <f>VLOOKUP($AP19,Tabelle1!$B$4:$W$144,12,0)*$AQ19</f>
        <v>0</v>
      </c>
      <c r="BD19" s="79">
        <f>VLOOKUP($AP19,Tabelle1!$B$4:$W$144,13,0)*$AR19</f>
        <v>0</v>
      </c>
      <c r="BE19" s="80">
        <f>VLOOKUP($AP19,Tabelle1!$B$4:$W$144,14,0)*$AR19</f>
        <v>0</v>
      </c>
      <c r="BF19" s="80">
        <f>VLOOKUP($AP19,Tabelle1!$B$4:$W$144,15,0)*$AR19</f>
        <v>0</v>
      </c>
      <c r="BG19" s="80">
        <f>VLOOKUP($AP19,Tabelle1!$B$4:$W$144,16,0)*$AR19</f>
        <v>0</v>
      </c>
      <c r="BH19" s="81">
        <f>VLOOKUP($AP19,Tabelle1!$B$4:$W$144,17,0)*$AR19</f>
        <v>0</v>
      </c>
      <c r="BI19" s="87">
        <f t="shared" si="1"/>
        <v>0</v>
      </c>
      <c r="BJ19" s="88">
        <f>VLOOKUP($AP19,Tabelle1!$B$4:$W$144,18,0)*$AR19</f>
        <v>0</v>
      </c>
      <c r="BK19" s="15">
        <f>VLOOKUP($AP19,Tabelle1!$B$4:$W$144,19,0)*$AR19</f>
        <v>0</v>
      </c>
      <c r="BL19" s="15">
        <f>VLOOKUP($AP19,Tabelle1!$B$4:$W$144,20,0)*$AR19</f>
        <v>0</v>
      </c>
      <c r="BM19" s="15">
        <f>VLOOKUP($AP19,Tabelle1!$B$4:$W$144,21,0)*$AR19</f>
        <v>0</v>
      </c>
      <c r="BN19" s="89">
        <f>VLOOKUP($AP19,Tabelle1!$B$4:$W$144,22,0)*$AR19</f>
        <v>0</v>
      </c>
      <c r="BO19" s="90">
        <f t="shared" si="2"/>
        <v>0</v>
      </c>
      <c r="BP19" s="91">
        <f>Tiere!K19</f>
        <v>0</v>
      </c>
      <c r="BQ19" s="92">
        <f>Tiere!L19</f>
        <v>0</v>
      </c>
      <c r="BR19" s="91">
        <f>Tiere!M19</f>
        <v>0</v>
      </c>
      <c r="BS19" s="77">
        <f>Tiere!N19</f>
        <v>0</v>
      </c>
      <c r="BT19" s="117">
        <f t="shared" si="3"/>
        <v>0</v>
      </c>
      <c r="BU19" s="117">
        <f t="shared" si="4"/>
        <v>0</v>
      </c>
      <c r="BV19" s="78">
        <f t="shared" si="5"/>
        <v>0</v>
      </c>
      <c r="BW19" s="79">
        <f t="shared" si="6"/>
        <v>0</v>
      </c>
      <c r="BX19" s="80">
        <f t="shared" si="7"/>
        <v>0</v>
      </c>
      <c r="BY19" s="80">
        <f t="shared" si="8"/>
        <v>0</v>
      </c>
      <c r="BZ19" s="94">
        <f t="shared" si="9"/>
        <v>0</v>
      </c>
      <c r="CA19" s="87">
        <f t="shared" si="10"/>
        <v>0</v>
      </c>
      <c r="CB19" s="86">
        <f t="shared" si="11"/>
        <v>0</v>
      </c>
      <c r="CC19" s="86">
        <f t="shared" si="12"/>
        <v>0</v>
      </c>
      <c r="CD19" s="86">
        <f t="shared" si="13"/>
        <v>0</v>
      </c>
      <c r="CE19" s="86">
        <f t="shared" si="14"/>
        <v>0</v>
      </c>
      <c r="CF19" s="95">
        <f t="shared" si="15"/>
        <v>0</v>
      </c>
      <c r="CG19" s="87">
        <f t="shared" si="16"/>
        <v>0</v>
      </c>
      <c r="CH19" s="78">
        <f t="shared" si="17"/>
        <v>0</v>
      </c>
      <c r="CI19" s="79">
        <f t="shared" si="18"/>
        <v>0</v>
      </c>
      <c r="CJ19" s="80">
        <f t="shared" si="19"/>
        <v>0</v>
      </c>
      <c r="CK19" s="80">
        <f t="shared" si="20"/>
        <v>0</v>
      </c>
      <c r="CL19" s="94">
        <f t="shared" si="21"/>
        <v>0</v>
      </c>
      <c r="CM19" s="78">
        <f t="shared" si="22"/>
        <v>0</v>
      </c>
      <c r="CN19" s="79">
        <f t="shared" si="23"/>
        <v>0</v>
      </c>
      <c r="CO19" s="80">
        <f t="shared" si="24"/>
        <v>0</v>
      </c>
      <c r="CP19" s="80">
        <f t="shared" si="25"/>
        <v>0</v>
      </c>
      <c r="CQ19" s="94">
        <f t="shared" si="26"/>
        <v>0</v>
      </c>
      <c r="CR19" s="78">
        <f t="shared" si="27"/>
        <v>0</v>
      </c>
      <c r="CS19" s="79">
        <f t="shared" si="28"/>
        <v>0</v>
      </c>
      <c r="CT19" s="80">
        <f t="shared" si="29"/>
        <v>0</v>
      </c>
      <c r="CU19" s="80">
        <f t="shared" si="30"/>
        <v>0</v>
      </c>
      <c r="CV19" s="94">
        <f t="shared" si="31"/>
        <v>0</v>
      </c>
      <c r="CW19" s="78">
        <f t="shared" si="32"/>
        <v>0</v>
      </c>
      <c r="CX19" s="79">
        <f t="shared" si="33"/>
        <v>0</v>
      </c>
      <c r="CY19" s="80">
        <f t="shared" si="34"/>
        <v>0</v>
      </c>
      <c r="CZ19" s="80">
        <f t="shared" si="35"/>
        <v>0</v>
      </c>
      <c r="DA19" s="94">
        <f t="shared" si="36"/>
        <v>0</v>
      </c>
      <c r="DB19" s="96">
        <f>VLOOKUP($AP19,Tabelle1!$B$4:$W$144,11,0)*$BR19</f>
        <v>0</v>
      </c>
      <c r="DC19" s="97">
        <f t="shared" si="37"/>
        <v>0</v>
      </c>
      <c r="DD19" s="132">
        <f>VLOOKUP($AP19,Tabelle1!$B$4:$AJ$144,35,0)</f>
        <v>0</v>
      </c>
      <c r="DE19" s="99">
        <f t="shared" si="38"/>
        <v>0</v>
      </c>
      <c r="DF19" s="133">
        <f>VLOOKUP($AP19,Tabelle1!$B$4:$AK$144,36,0)</f>
        <v>0</v>
      </c>
      <c r="DG19" s="101">
        <f t="shared" si="39"/>
        <v>0</v>
      </c>
      <c r="DH19">
        <f t="shared" si="40"/>
        <v>0</v>
      </c>
    </row>
    <row r="20" spans="1:112" ht="15" thickBot="1">
      <c r="A20" s="1">
        <v>16</v>
      </c>
      <c r="B20" s="102" t="str">
        <f t="shared" si="41"/>
        <v>16 - Kalbinnen - Tiefstallmist</v>
      </c>
      <c r="C20" s="103" t="s">
        <v>91</v>
      </c>
      <c r="D20" s="104"/>
      <c r="E20" s="105"/>
      <c r="F20" s="105"/>
      <c r="G20" s="105"/>
      <c r="H20" s="106">
        <v>48.5</v>
      </c>
      <c r="I20" s="107"/>
      <c r="J20" s="15"/>
      <c r="K20" s="108">
        <v>8.1999999999999993</v>
      </c>
      <c r="L20" s="107">
        <v>1</v>
      </c>
      <c r="M20" s="108">
        <v>1</v>
      </c>
      <c r="N20" s="107"/>
      <c r="O20" s="15"/>
      <c r="P20" s="15"/>
      <c r="Q20" s="84"/>
      <c r="R20" s="109">
        <v>25.5</v>
      </c>
      <c r="S20" s="95"/>
      <c r="T20" s="84"/>
      <c r="U20" s="84"/>
      <c r="V20" s="84"/>
      <c r="W20" s="109">
        <v>104.2</v>
      </c>
      <c r="X20" s="118"/>
      <c r="Y20" s="119"/>
      <c r="Z20" s="119"/>
      <c r="AA20" s="120"/>
      <c r="AB20" s="119"/>
      <c r="AC20" s="119"/>
      <c r="AD20" s="119"/>
      <c r="AE20" s="120"/>
      <c r="AF20" s="107"/>
      <c r="AG20" s="15"/>
      <c r="AH20" s="108">
        <v>44.1</v>
      </c>
      <c r="AI20" s="113" t="s">
        <v>91</v>
      </c>
      <c r="AJ20" s="114">
        <v>68</v>
      </c>
      <c r="AK20" s="115">
        <v>68</v>
      </c>
      <c r="AL20" s="100">
        <f t="shared" si="42"/>
        <v>2.5</v>
      </c>
      <c r="AM20" s="130" t="s">
        <v>92</v>
      </c>
      <c r="AN20" s="75" t="str">
        <f>IF(Tiere!G34=0,"LN-Angaben fehlen!",IF(Tiere!G34&gt;210,"Zuviel Stickstoff am Betrieb!",""))</f>
        <v>LN-Angaben fehlen!</v>
      </c>
      <c r="AP20" s="16" t="s">
        <v>93</v>
      </c>
      <c r="AQ20" s="16"/>
      <c r="AR20" s="17"/>
      <c r="AS20" s="134">
        <f>SUM(AS5:AS19)</f>
        <v>0</v>
      </c>
      <c r="AT20" s="135">
        <f>SUM(AT5:AT19)</f>
        <v>0</v>
      </c>
      <c r="AU20" s="135">
        <f>SUM(AU5:AU19)</f>
        <v>0</v>
      </c>
      <c r="AV20" s="135">
        <f>SUM(AV5:AV19)</f>
        <v>0</v>
      </c>
      <c r="AW20" s="136">
        <f>SUM(AW5:AW19)</f>
        <v>0</v>
      </c>
      <c r="AX20" s="137">
        <f t="shared" si="0"/>
        <v>0</v>
      </c>
      <c r="AY20" s="138">
        <f t="shared" ref="AY20:BH20" si="43">SUM(AY5:AY19)</f>
        <v>0</v>
      </c>
      <c r="AZ20" s="135">
        <f t="shared" si="43"/>
        <v>0</v>
      </c>
      <c r="BA20" s="136">
        <f t="shared" si="43"/>
        <v>0</v>
      </c>
      <c r="BB20" s="137">
        <f t="shared" si="43"/>
        <v>0</v>
      </c>
      <c r="BC20" s="137">
        <f t="shared" si="43"/>
        <v>0</v>
      </c>
      <c r="BD20" s="138">
        <f t="shared" si="43"/>
        <v>0</v>
      </c>
      <c r="BE20" s="135">
        <f t="shared" si="43"/>
        <v>0</v>
      </c>
      <c r="BF20" s="135">
        <f t="shared" si="43"/>
        <v>0</v>
      </c>
      <c r="BG20" s="135">
        <f t="shared" si="43"/>
        <v>0</v>
      </c>
      <c r="BH20" s="136">
        <f t="shared" si="43"/>
        <v>0</v>
      </c>
      <c r="BI20" s="137">
        <f t="shared" si="1"/>
        <v>0</v>
      </c>
      <c r="BJ20" s="22">
        <f t="shared" ref="BJ20:BO20" si="44">SUM(BJ5:BJ19)</f>
        <v>0</v>
      </c>
      <c r="BK20" s="19">
        <f t="shared" si="44"/>
        <v>0</v>
      </c>
      <c r="BL20" s="19">
        <f t="shared" si="44"/>
        <v>0</v>
      </c>
      <c r="BM20" s="19">
        <f t="shared" si="44"/>
        <v>0</v>
      </c>
      <c r="BN20" s="20">
        <f t="shared" si="44"/>
        <v>0</v>
      </c>
      <c r="BO20" s="23">
        <f t="shared" si="44"/>
        <v>0</v>
      </c>
      <c r="BP20" s="139"/>
      <c r="BQ20" s="140"/>
      <c r="BR20" s="141"/>
      <c r="BS20" s="142"/>
      <c r="BT20" s="23"/>
      <c r="BU20" s="143" t="s">
        <v>94</v>
      </c>
      <c r="BV20" s="144">
        <f t="shared" ref="BV20:DB20" si="45">SUM(BV5:BV19)</f>
        <v>0</v>
      </c>
      <c r="BW20" s="145">
        <f t="shared" si="45"/>
        <v>0</v>
      </c>
      <c r="BX20" s="145">
        <f t="shared" si="45"/>
        <v>0</v>
      </c>
      <c r="BY20" s="145">
        <f t="shared" si="45"/>
        <v>0</v>
      </c>
      <c r="BZ20" s="146">
        <f t="shared" si="45"/>
        <v>0</v>
      </c>
      <c r="CA20" s="147">
        <f t="shared" si="45"/>
        <v>0</v>
      </c>
      <c r="CB20" s="144">
        <f t="shared" si="45"/>
        <v>0</v>
      </c>
      <c r="CC20" s="145">
        <f t="shared" si="45"/>
        <v>0</v>
      </c>
      <c r="CD20" s="145">
        <f t="shared" si="45"/>
        <v>0</v>
      </c>
      <c r="CE20" s="145">
        <f t="shared" si="45"/>
        <v>0</v>
      </c>
      <c r="CF20" s="146">
        <f t="shared" si="45"/>
        <v>0</v>
      </c>
      <c r="CG20" s="148">
        <f t="shared" si="45"/>
        <v>0</v>
      </c>
      <c r="CH20" s="149">
        <f t="shared" si="45"/>
        <v>0</v>
      </c>
      <c r="CI20" s="150">
        <f t="shared" si="45"/>
        <v>0</v>
      </c>
      <c r="CJ20" s="150">
        <f t="shared" si="45"/>
        <v>0</v>
      </c>
      <c r="CK20" s="150">
        <f t="shared" si="45"/>
        <v>0</v>
      </c>
      <c r="CL20" s="151">
        <f t="shared" si="45"/>
        <v>0</v>
      </c>
      <c r="CM20" s="149">
        <f t="shared" si="45"/>
        <v>0</v>
      </c>
      <c r="CN20" s="150">
        <f t="shared" si="45"/>
        <v>0</v>
      </c>
      <c r="CO20" s="150">
        <f t="shared" si="45"/>
        <v>0</v>
      </c>
      <c r="CP20" s="150">
        <f t="shared" si="45"/>
        <v>0</v>
      </c>
      <c r="CQ20" s="151">
        <f t="shared" si="45"/>
        <v>0</v>
      </c>
      <c r="CR20" s="149">
        <f t="shared" si="45"/>
        <v>0</v>
      </c>
      <c r="CS20" s="150">
        <f t="shared" si="45"/>
        <v>0</v>
      </c>
      <c r="CT20" s="150">
        <f t="shared" si="45"/>
        <v>0</v>
      </c>
      <c r="CU20" s="150">
        <f t="shared" si="45"/>
        <v>0</v>
      </c>
      <c r="CV20" s="151">
        <f t="shared" si="45"/>
        <v>0</v>
      </c>
      <c r="CW20" s="149">
        <f t="shared" si="45"/>
        <v>0</v>
      </c>
      <c r="CX20" s="150">
        <f t="shared" si="45"/>
        <v>0</v>
      </c>
      <c r="CY20" s="150">
        <f t="shared" si="45"/>
        <v>0</v>
      </c>
      <c r="CZ20" s="150">
        <f t="shared" si="45"/>
        <v>0</v>
      </c>
      <c r="DA20" s="151">
        <f t="shared" si="45"/>
        <v>0</v>
      </c>
      <c r="DB20" s="152">
        <f t="shared" si="45"/>
        <v>0</v>
      </c>
      <c r="DC20" s="152"/>
      <c r="DD20" s="153"/>
      <c r="DE20" s="154">
        <f>SUM(DE5:DE19)</f>
        <v>0</v>
      </c>
      <c r="DF20" s="153"/>
      <c r="DG20" s="154">
        <f>SUM(DG5:DG19)</f>
        <v>0</v>
      </c>
    </row>
    <row r="21" spans="1:112" ht="15" thickBot="1">
      <c r="A21" s="1">
        <v>17</v>
      </c>
      <c r="B21" s="102" t="str">
        <f t="shared" si="41"/>
        <v>17 - Milch- bzw. Mutterkühe (3000 kg Milch)  - Gülle</v>
      </c>
      <c r="C21" s="103" t="s">
        <v>95</v>
      </c>
      <c r="D21" s="104">
        <v>59.1</v>
      </c>
      <c r="E21" s="105"/>
      <c r="F21" s="105"/>
      <c r="G21" s="105"/>
      <c r="H21" s="106"/>
      <c r="I21" s="107">
        <v>11.25</v>
      </c>
      <c r="J21" s="15"/>
      <c r="K21" s="108"/>
      <c r="L21" s="107">
        <v>1</v>
      </c>
      <c r="M21" s="108">
        <v>1</v>
      </c>
      <c r="N21" s="107">
        <v>19</v>
      </c>
      <c r="O21" s="15"/>
      <c r="P21" s="15"/>
      <c r="Q21" s="84"/>
      <c r="R21" s="109"/>
      <c r="S21" s="95">
        <v>119.1</v>
      </c>
      <c r="T21" s="84"/>
      <c r="U21" s="84"/>
      <c r="V21" s="84"/>
      <c r="W21" s="109"/>
      <c r="X21" s="118"/>
      <c r="Y21" s="119"/>
      <c r="Z21" s="119"/>
      <c r="AA21" s="120"/>
      <c r="AB21" s="119"/>
      <c r="AC21" s="119"/>
      <c r="AD21" s="119"/>
      <c r="AE21" s="120"/>
      <c r="AF21" s="107">
        <v>51.4</v>
      </c>
      <c r="AG21" s="15"/>
      <c r="AH21" s="108"/>
      <c r="AI21" s="113" t="s">
        <v>95</v>
      </c>
      <c r="AJ21" s="114">
        <v>68</v>
      </c>
      <c r="AK21" s="115">
        <v>68</v>
      </c>
      <c r="AL21" s="100">
        <f t="shared" si="42"/>
        <v>2.5</v>
      </c>
      <c r="AM21" s="130" t="s">
        <v>96</v>
      </c>
      <c r="AN21" s="75" t="str">
        <f>IF(AND(Betrieb!I11="",Tiere!G34&lt;=175),"Wasserrechtsgesetz eingehalten!",IF(AND(Betrieb!I11="Nein",Tiere!G34&lt;=175),"Wasserrechtsgesetz eingehalten!",IF(AND(Betrieb!I11="ja",Tiere!G34&lt;=210),"Wasserrechtsgesetz eingehalten!",IF(AND(Betrieb!I11="",Tiere!F41&gt;175),"Bitte Fruchtfolge definieren!","Wasserrechtsgesetz nicht eingehalten!"))))</f>
        <v>Wasserrechtsgesetz eingehalten!</v>
      </c>
      <c r="AS21"/>
      <c r="AT21"/>
      <c r="AU21"/>
      <c r="AV21"/>
      <c r="AW21"/>
      <c r="AX21" s="155">
        <f>SUM(AX5:AX19)</f>
        <v>0</v>
      </c>
      <c r="AY21"/>
      <c r="AZ21"/>
      <c r="BA21"/>
      <c r="BB21"/>
      <c r="BC21"/>
      <c r="BD21"/>
      <c r="BE21"/>
      <c r="BF21"/>
      <c r="BG21"/>
      <c r="BH21"/>
      <c r="BI21"/>
      <c r="BJ21"/>
      <c r="BK21"/>
      <c r="BL21"/>
      <c r="BM21"/>
      <c r="BN21"/>
      <c r="BO21"/>
      <c r="BP21" s="141"/>
      <c r="BQ21" s="156"/>
      <c r="BR21" s="141"/>
      <c r="BS21" s="142"/>
      <c r="BT21" s="157"/>
      <c r="BU21" s="158" t="s">
        <v>97</v>
      </c>
      <c r="BV21" s="159">
        <f>BV20*0.87</f>
        <v>0</v>
      </c>
      <c r="BW21" s="145">
        <f>BW20*0.87</f>
        <v>0</v>
      </c>
      <c r="BX21" s="145">
        <f>BX20*0.87</f>
        <v>0</v>
      </c>
      <c r="BY21" s="145">
        <f>BY20*0.87</f>
        <v>0</v>
      </c>
      <c r="BZ21" s="145">
        <f>BZ20*0.91</f>
        <v>0</v>
      </c>
      <c r="CA21" s="160">
        <f>SUM(BV21:BZ21)</f>
        <v>0</v>
      </c>
      <c r="CB21" s="159">
        <f>CB20*0.87</f>
        <v>0</v>
      </c>
      <c r="CC21" s="145">
        <f>CC20*0.87</f>
        <v>0</v>
      </c>
      <c r="CD21" s="145">
        <f>CD20*0.87</f>
        <v>0</v>
      </c>
      <c r="CE21" s="145">
        <f>CE20*0.87</f>
        <v>0</v>
      </c>
      <c r="CF21" s="145">
        <f>CF20*0.91</f>
        <v>0</v>
      </c>
      <c r="CG21" s="161">
        <f>SUM(CB21:CF21)</f>
        <v>0</v>
      </c>
      <c r="CH21" s="159"/>
      <c r="CI21" s="162" t="s">
        <v>98</v>
      </c>
      <c r="CJ21" s="159"/>
      <c r="CK21" s="145"/>
      <c r="CL21" s="145"/>
      <c r="CM21" s="145"/>
      <c r="CN21" s="162" t="s">
        <v>99</v>
      </c>
      <c r="CO21" s="159"/>
      <c r="CP21" s="145"/>
      <c r="CQ21" s="145"/>
      <c r="CR21" s="145"/>
      <c r="CS21" s="162" t="s">
        <v>100</v>
      </c>
      <c r="CT21" s="159"/>
      <c r="CU21" s="145"/>
      <c r="CV21" s="145"/>
      <c r="CW21" s="145"/>
      <c r="CX21" s="162" t="s">
        <v>101</v>
      </c>
      <c r="CY21" s="159"/>
      <c r="CZ21" s="145"/>
      <c r="DA21" s="145"/>
      <c r="DD21" s="163" t="s">
        <v>102</v>
      </c>
      <c r="DE21" s="164">
        <f>Betrieb!E14</f>
        <v>0</v>
      </c>
      <c r="DF21" s="164"/>
      <c r="DG21" s="164">
        <f>Betrieb!E14</f>
        <v>0</v>
      </c>
    </row>
    <row r="22" spans="1:112" ht="16.5" thickBot="1">
      <c r="A22" s="1">
        <v>18</v>
      </c>
      <c r="B22" s="102" t="str">
        <f t="shared" si="41"/>
        <v>18 - Milch- bzw. Mutterkühe (3000 kg Milch)  - Mist / Jauche</v>
      </c>
      <c r="C22" s="103" t="s">
        <v>103</v>
      </c>
      <c r="D22" s="104"/>
      <c r="E22" s="105"/>
      <c r="F22" s="105"/>
      <c r="G22" s="105">
        <v>16.2</v>
      </c>
      <c r="H22" s="106">
        <v>32.5</v>
      </c>
      <c r="I22" s="107"/>
      <c r="J22" s="15">
        <v>3.7</v>
      </c>
      <c r="K22" s="108">
        <v>7.2</v>
      </c>
      <c r="L22" s="107">
        <v>1</v>
      </c>
      <c r="M22" s="108">
        <v>1</v>
      </c>
      <c r="N22" s="107"/>
      <c r="O22" s="15"/>
      <c r="P22" s="15"/>
      <c r="Q22" s="84">
        <v>0.95</v>
      </c>
      <c r="R22" s="109">
        <v>18.05</v>
      </c>
      <c r="S22" s="95"/>
      <c r="T22" s="84"/>
      <c r="U22" s="84"/>
      <c r="V22" s="84">
        <v>39.302999999999997</v>
      </c>
      <c r="W22" s="109">
        <v>79.796999999999997</v>
      </c>
      <c r="X22" s="118"/>
      <c r="Y22" s="119"/>
      <c r="Z22" s="119"/>
      <c r="AA22" s="120"/>
      <c r="AB22" s="119"/>
      <c r="AC22" s="119"/>
      <c r="AD22" s="119"/>
      <c r="AE22" s="120"/>
      <c r="AF22" s="107"/>
      <c r="AG22" s="15">
        <v>14.1</v>
      </c>
      <c r="AH22" s="108">
        <v>29.5</v>
      </c>
      <c r="AI22" s="113" t="s">
        <v>103</v>
      </c>
      <c r="AJ22" s="114">
        <v>68</v>
      </c>
      <c r="AK22" s="115">
        <v>68</v>
      </c>
      <c r="AL22" s="100">
        <f t="shared" si="42"/>
        <v>2.5</v>
      </c>
      <c r="AM22" s="8"/>
      <c r="AN22"/>
      <c r="AP22" s="165" t="s">
        <v>104</v>
      </c>
      <c r="AQ22" s="166"/>
      <c r="AR22" s="167"/>
      <c r="AS22" s="168"/>
      <c r="AT22" s="168"/>
      <c r="AU22" s="168"/>
      <c r="AV22" s="168"/>
      <c r="AW22" s="168"/>
      <c r="AX22" s="168"/>
      <c r="AY22" s="169" t="s">
        <v>105</v>
      </c>
      <c r="AZ22" s="170" t="s">
        <v>106</v>
      </c>
      <c r="BA22" s="170" t="s">
        <v>107</v>
      </c>
      <c r="BB22" s="170" t="s">
        <v>108</v>
      </c>
      <c r="BC22" s="168"/>
      <c r="BD22" s="168"/>
      <c r="BE22" s="168"/>
      <c r="BF22" s="168"/>
      <c r="BG22" s="168"/>
      <c r="BH22" s="168"/>
      <c r="BI22" s="168"/>
      <c r="BJ22" s="168"/>
      <c r="BK22" s="168"/>
      <c r="BL22" s="168"/>
      <c r="BM22" s="168"/>
      <c r="BN22" s="168"/>
      <c r="BO22" s="171"/>
      <c r="BP22"/>
      <c r="BT22" s="172"/>
      <c r="BU22" s="172" t="s">
        <v>109</v>
      </c>
      <c r="BV22" s="173">
        <f>BV21*0.7</f>
        <v>0</v>
      </c>
      <c r="BW22" s="173">
        <f>BW21*0.8</f>
        <v>0</v>
      </c>
      <c r="BX22" s="173">
        <f>BX21*0.85</f>
        <v>0</v>
      </c>
      <c r="BY22" s="174">
        <f>BY21</f>
        <v>0</v>
      </c>
      <c r="BZ22" s="175">
        <f>BZ21*0.5</f>
        <v>0</v>
      </c>
      <c r="CA22" s="160">
        <f>SUM(BV22:BZ22)</f>
        <v>0</v>
      </c>
      <c r="CB22" s="173">
        <f>CB21*0.7</f>
        <v>0</v>
      </c>
      <c r="CC22" s="173">
        <f>CC21*0.8</f>
        <v>0</v>
      </c>
      <c r="CD22" s="173">
        <f>CD21*0.85</f>
        <v>0</v>
      </c>
      <c r="CE22" s="174">
        <f>CE21</f>
        <v>0</v>
      </c>
      <c r="CF22" s="175">
        <f>CF21*0.5</f>
        <v>0</v>
      </c>
      <c r="CG22" s="176">
        <f>SUM(CB22:CF22)</f>
        <v>0</v>
      </c>
      <c r="CH22" s="177" t="s">
        <v>110</v>
      </c>
      <c r="CI22" s="178">
        <f>SUM(CH20:CL20)</f>
        <v>0</v>
      </c>
      <c r="CJ22" s="179" t="s">
        <v>110</v>
      </c>
      <c r="CK22" s="179" t="s">
        <v>110</v>
      </c>
      <c r="CL22" s="179" t="s">
        <v>110</v>
      </c>
      <c r="CM22" s="177" t="s">
        <v>110</v>
      </c>
      <c r="CN22" s="178">
        <f>SUM(CM20:CQ20)</f>
        <v>0</v>
      </c>
      <c r="CO22" s="179" t="s">
        <v>110</v>
      </c>
      <c r="CP22" s="179" t="s">
        <v>110</v>
      </c>
      <c r="CQ22" s="179" t="s">
        <v>110</v>
      </c>
      <c r="CR22" s="177" t="s">
        <v>110</v>
      </c>
      <c r="CS22" s="178">
        <f>SUM(CR20:CV20)</f>
        <v>0</v>
      </c>
      <c r="CT22" s="179" t="s">
        <v>110</v>
      </c>
      <c r="CU22" s="179" t="s">
        <v>110</v>
      </c>
      <c r="CV22" s="179" t="s">
        <v>110</v>
      </c>
      <c r="CW22" s="177" t="s">
        <v>110</v>
      </c>
      <c r="CX22" s="178">
        <f>SUM(CW20:DA20)</f>
        <v>0</v>
      </c>
      <c r="CY22" s="179" t="s">
        <v>110</v>
      </c>
      <c r="CZ22" s="179" t="s">
        <v>110</v>
      </c>
      <c r="DA22" s="179" t="s">
        <v>110</v>
      </c>
      <c r="DD22" t="str">
        <f>IF(OR(DE23=1,DG23=1),"Bei BIO Tierzahl überprüfen!","")</f>
        <v/>
      </c>
    </row>
    <row r="23" spans="1:112">
      <c r="A23" s="1">
        <v>19</v>
      </c>
      <c r="B23" s="102" t="str">
        <f t="shared" si="41"/>
        <v>19 - Milch- bzw. Mutterkühe (3000 kg Milch)  - Tiefstallmist</v>
      </c>
      <c r="C23" s="103" t="s">
        <v>111</v>
      </c>
      <c r="D23" s="104"/>
      <c r="E23" s="105"/>
      <c r="F23" s="105"/>
      <c r="G23" s="105"/>
      <c r="H23" s="106">
        <v>48.7</v>
      </c>
      <c r="I23" s="107"/>
      <c r="J23" s="15"/>
      <c r="K23" s="108">
        <v>11.6</v>
      </c>
      <c r="L23" s="107">
        <v>1</v>
      </c>
      <c r="M23" s="108">
        <v>1</v>
      </c>
      <c r="N23" s="107"/>
      <c r="O23" s="15"/>
      <c r="P23" s="15"/>
      <c r="Q23" s="84"/>
      <c r="R23" s="109">
        <v>19</v>
      </c>
      <c r="S23" s="95"/>
      <c r="T23" s="84"/>
      <c r="U23" s="84"/>
      <c r="V23" s="84"/>
      <c r="W23" s="109">
        <v>119.1</v>
      </c>
      <c r="X23" s="118"/>
      <c r="Y23" s="119"/>
      <c r="Z23" s="119"/>
      <c r="AA23" s="120"/>
      <c r="AB23" s="119"/>
      <c r="AC23" s="119"/>
      <c r="AD23" s="119"/>
      <c r="AE23" s="120"/>
      <c r="AF23" s="107"/>
      <c r="AG23" s="15"/>
      <c r="AH23" s="108">
        <v>44.3</v>
      </c>
      <c r="AI23" s="113" t="s">
        <v>111</v>
      </c>
      <c r="AJ23" s="114">
        <v>68</v>
      </c>
      <c r="AK23" s="115">
        <v>68</v>
      </c>
      <c r="AL23" s="100">
        <f t="shared" si="42"/>
        <v>2.5</v>
      </c>
      <c r="AM23" s="8"/>
      <c r="AN23" s="180" t="s">
        <v>112</v>
      </c>
      <c r="AP23" s="181" t="s">
        <v>113</v>
      </c>
      <c r="AQ23" s="182"/>
      <c r="AR23" s="183"/>
      <c r="AS23" s="184">
        <f>AY23*BB23</f>
        <v>0</v>
      </c>
      <c r="AT23" s="185"/>
      <c r="AU23" s="185"/>
      <c r="AV23" s="185"/>
      <c r="AW23" s="185"/>
      <c r="AX23" s="186"/>
      <c r="AY23" s="187">
        <f>Tiere!R24</f>
        <v>0</v>
      </c>
      <c r="AZ23" s="187">
        <f>Tiere!S24</f>
        <v>0</v>
      </c>
      <c r="BA23" s="187">
        <f>Tiere!T24</f>
        <v>0</v>
      </c>
      <c r="BB23" s="187">
        <f>Tiere!U24</f>
        <v>0</v>
      </c>
      <c r="BC23" s="186"/>
      <c r="BD23" s="184">
        <f>AZ23*$BB23</f>
        <v>0</v>
      </c>
      <c r="BE23" s="186"/>
      <c r="BF23" s="186"/>
      <c r="BG23" s="186"/>
      <c r="BH23" s="186"/>
      <c r="BI23" s="186"/>
      <c r="BJ23" s="184">
        <f>BA23*$BB23</f>
        <v>0</v>
      </c>
      <c r="BK23" s="186"/>
      <c r="BL23" s="186"/>
      <c r="BM23" s="186"/>
      <c r="BN23" s="186"/>
      <c r="BO23" s="183"/>
      <c r="BP23"/>
      <c r="BT23"/>
      <c r="BU23"/>
      <c r="CF23" s="188" t="s">
        <v>114</v>
      </c>
      <c r="CG23" s="99">
        <f>CA22+CG22</f>
        <v>0</v>
      </c>
      <c r="DD23" s="1599" t="str">
        <f>IF(DE23=1,"• Die Bio-Tierbestandsobergrenze ist möglicherweise überschritten!                  Bitte Rücksprache halten mit ihrer Kontrollstelle!","")</f>
        <v/>
      </c>
      <c r="DE23" s="189">
        <f>IF(AND(AO15=1,DE20&gt;DE21),1,0)</f>
        <v>0</v>
      </c>
      <c r="DF23" s="189"/>
      <c r="DG23" s="189">
        <f>IF(AND(AO15=1,DG20&gt;DG21),1,0)</f>
        <v>0</v>
      </c>
    </row>
    <row r="24" spans="1:112" ht="12.75" customHeight="1">
      <c r="A24" s="1">
        <v>20</v>
      </c>
      <c r="B24" s="102" t="str">
        <f t="shared" si="41"/>
        <v>20 - Milch- bzw. Ammenkühe (4000 kg Milch)  - Gülle</v>
      </c>
      <c r="C24" s="103" t="s">
        <v>115</v>
      </c>
      <c r="D24" s="104">
        <v>66.7</v>
      </c>
      <c r="E24" s="105"/>
      <c r="F24" s="105"/>
      <c r="G24" s="105"/>
      <c r="H24" s="106"/>
      <c r="I24" s="107">
        <v>11.25</v>
      </c>
      <c r="J24" s="15"/>
      <c r="K24" s="108"/>
      <c r="L24" s="107">
        <v>1</v>
      </c>
      <c r="M24" s="108">
        <v>1</v>
      </c>
      <c r="N24" s="107">
        <v>23.6</v>
      </c>
      <c r="O24" s="15"/>
      <c r="P24" s="15"/>
      <c r="Q24" s="84"/>
      <c r="R24" s="109"/>
      <c r="S24" s="95">
        <v>134</v>
      </c>
      <c r="T24" s="84"/>
      <c r="U24" s="84"/>
      <c r="V24" s="84"/>
      <c r="W24" s="109"/>
      <c r="X24" s="118"/>
      <c r="Y24" s="119"/>
      <c r="Z24" s="119"/>
      <c r="AA24" s="120"/>
      <c r="AB24" s="119"/>
      <c r="AC24" s="119"/>
      <c r="AD24" s="119"/>
      <c r="AE24" s="120"/>
      <c r="AF24" s="107">
        <v>58</v>
      </c>
      <c r="AG24" s="15"/>
      <c r="AH24" s="108"/>
      <c r="AI24" s="113" t="s">
        <v>115</v>
      </c>
      <c r="AJ24" s="114">
        <v>85</v>
      </c>
      <c r="AK24" s="115">
        <v>85</v>
      </c>
      <c r="AL24" s="100">
        <f t="shared" si="42"/>
        <v>2</v>
      </c>
      <c r="AM24" s="8"/>
      <c r="AN24" s="75" t="s">
        <v>116</v>
      </c>
      <c r="AP24" s="75" t="s">
        <v>117</v>
      </c>
      <c r="AQ24" s="190"/>
      <c r="AR24" s="88"/>
      <c r="AS24" s="185"/>
      <c r="AT24" s="15">
        <f>AY24*BB24</f>
        <v>0</v>
      </c>
      <c r="AU24" s="185"/>
      <c r="AV24" s="185"/>
      <c r="AW24" s="185"/>
      <c r="AX24" s="186"/>
      <c r="AY24" s="191">
        <f>Tiere!R25</f>
        <v>0</v>
      </c>
      <c r="AZ24" s="191">
        <f>Tiere!S25</f>
        <v>0</v>
      </c>
      <c r="BA24" s="191">
        <f>Tiere!T25</f>
        <v>0</v>
      </c>
      <c r="BB24" s="191">
        <f>Tiere!U25</f>
        <v>0</v>
      </c>
      <c r="BC24" s="186"/>
      <c r="BD24" s="186"/>
      <c r="BE24" s="15">
        <f>AZ24*$BB24</f>
        <v>0</v>
      </c>
      <c r="BF24" s="186"/>
      <c r="BG24" s="186"/>
      <c r="BH24" s="186"/>
      <c r="BI24" s="186"/>
      <c r="BJ24" s="186"/>
      <c r="BK24" s="15">
        <f>BA24*$BB24</f>
        <v>0</v>
      </c>
      <c r="BL24" s="186"/>
      <c r="BM24" s="186"/>
      <c r="BN24" s="186"/>
      <c r="BO24" s="183"/>
      <c r="BP24"/>
      <c r="BT24"/>
      <c r="BU24"/>
      <c r="DC24" s="192"/>
      <c r="DD24" s="1598" t="s">
        <v>1728</v>
      </c>
      <c r="DE24" s="193">
        <f>Tabelle1!DE20</f>
        <v>0</v>
      </c>
      <c r="DF24" s="194" t="s">
        <v>118</v>
      </c>
      <c r="DG24" s="193">
        <f>Tabelle1!DG20</f>
        <v>0</v>
      </c>
    </row>
    <row r="25" spans="1:112">
      <c r="A25" s="1">
        <v>21</v>
      </c>
      <c r="B25" s="102" t="str">
        <f t="shared" si="41"/>
        <v>21 - Milch- bzw. Ammenkühe (4000 kg Milch)  - Mist / Jauche</v>
      </c>
      <c r="C25" s="103" t="s">
        <v>119</v>
      </c>
      <c r="D25" s="104"/>
      <c r="E25" s="105"/>
      <c r="F25" s="105"/>
      <c r="G25" s="105">
        <v>18.399999999999999</v>
      </c>
      <c r="H25" s="106">
        <v>36.6</v>
      </c>
      <c r="I25" s="107"/>
      <c r="J25" s="15">
        <v>3.7</v>
      </c>
      <c r="K25" s="108">
        <v>7.2</v>
      </c>
      <c r="L25" s="107">
        <v>1</v>
      </c>
      <c r="M25" s="108">
        <v>1</v>
      </c>
      <c r="N25" s="107"/>
      <c r="O25" s="15"/>
      <c r="P25" s="15"/>
      <c r="Q25" s="84">
        <v>1.18</v>
      </c>
      <c r="R25" s="109">
        <v>22.42</v>
      </c>
      <c r="S25" s="95"/>
      <c r="T25" s="84"/>
      <c r="U25" s="84"/>
      <c r="V25" s="84">
        <v>44.22</v>
      </c>
      <c r="W25" s="109">
        <v>89.78</v>
      </c>
      <c r="X25" s="118"/>
      <c r="Y25" s="119"/>
      <c r="Z25" s="119"/>
      <c r="AA25" s="120"/>
      <c r="AB25" s="119"/>
      <c r="AC25" s="119"/>
      <c r="AD25" s="119"/>
      <c r="AE25" s="120"/>
      <c r="AF25" s="107"/>
      <c r="AG25" s="15">
        <v>16</v>
      </c>
      <c r="AH25" s="108">
        <v>33.299999999999997</v>
      </c>
      <c r="AI25" s="113" t="s">
        <v>119</v>
      </c>
      <c r="AJ25" s="114">
        <v>85</v>
      </c>
      <c r="AK25" s="115">
        <v>85</v>
      </c>
      <c r="AL25" s="100">
        <f t="shared" si="42"/>
        <v>2</v>
      </c>
      <c r="AM25" s="8"/>
      <c r="AN25" s="75" t="s">
        <v>120</v>
      </c>
      <c r="AP25" s="75" t="s">
        <v>121</v>
      </c>
      <c r="AQ25" s="190"/>
      <c r="AR25" s="88"/>
      <c r="AS25" s="185"/>
      <c r="AT25" s="185"/>
      <c r="AU25" s="15">
        <f>AY25*BB25</f>
        <v>0</v>
      </c>
      <c r="AV25" s="185"/>
      <c r="AW25" s="185"/>
      <c r="AX25" s="186"/>
      <c r="AY25" s="191">
        <f>Tiere!R26</f>
        <v>0</v>
      </c>
      <c r="AZ25" s="191">
        <f>Tiere!S26</f>
        <v>0</v>
      </c>
      <c r="BA25" s="191">
        <f>Tiere!T26</f>
        <v>0</v>
      </c>
      <c r="BB25" s="191">
        <f>Tiere!U26</f>
        <v>0</v>
      </c>
      <c r="BC25" s="186"/>
      <c r="BD25" s="186"/>
      <c r="BE25" s="186"/>
      <c r="BF25" s="15">
        <f>AZ25*$BB25</f>
        <v>0</v>
      </c>
      <c r="BG25" s="186"/>
      <c r="BH25" s="186"/>
      <c r="BI25" s="186"/>
      <c r="BJ25" s="186"/>
      <c r="BK25" s="186"/>
      <c r="BL25" s="15">
        <f>BA25*$BB25</f>
        <v>0</v>
      </c>
      <c r="BM25" s="186"/>
      <c r="BN25" s="186"/>
      <c r="BO25" s="183"/>
      <c r="BP25"/>
      <c r="BT25"/>
      <c r="BU25"/>
    </row>
    <row r="26" spans="1:112">
      <c r="A26" s="1">
        <v>22</v>
      </c>
      <c r="B26" s="102" t="str">
        <f t="shared" si="41"/>
        <v>22 - Milch- bzw. Ammenkühe (4000 kg Milch)  - Tiefstallmist</v>
      </c>
      <c r="C26" s="103" t="s">
        <v>122</v>
      </c>
      <c r="D26" s="104"/>
      <c r="E26" s="105"/>
      <c r="F26" s="105"/>
      <c r="G26" s="105"/>
      <c r="H26" s="106">
        <v>55</v>
      </c>
      <c r="I26" s="107"/>
      <c r="J26" s="15"/>
      <c r="K26" s="108">
        <v>11.6</v>
      </c>
      <c r="L26" s="107">
        <v>1</v>
      </c>
      <c r="M26" s="108">
        <v>1</v>
      </c>
      <c r="N26" s="107"/>
      <c r="O26" s="15"/>
      <c r="P26" s="15"/>
      <c r="Q26" s="84"/>
      <c r="R26" s="109">
        <v>23.6</v>
      </c>
      <c r="S26" s="95"/>
      <c r="T26" s="84"/>
      <c r="U26" s="84"/>
      <c r="V26" s="84"/>
      <c r="W26" s="109">
        <v>134</v>
      </c>
      <c r="X26" s="118"/>
      <c r="Y26" s="119"/>
      <c r="Z26" s="119"/>
      <c r="AA26" s="120"/>
      <c r="AB26" s="119"/>
      <c r="AC26" s="119"/>
      <c r="AD26" s="119"/>
      <c r="AE26" s="120"/>
      <c r="AF26" s="107"/>
      <c r="AG26" s="15"/>
      <c r="AH26" s="108">
        <v>50.1</v>
      </c>
      <c r="AI26" s="113" t="s">
        <v>122</v>
      </c>
      <c r="AJ26" s="114">
        <v>85</v>
      </c>
      <c r="AK26" s="115">
        <v>85</v>
      </c>
      <c r="AL26" s="100">
        <f t="shared" si="42"/>
        <v>2</v>
      </c>
      <c r="AM26" s="8"/>
      <c r="AN26"/>
      <c r="AP26" s="75" t="s">
        <v>22</v>
      </c>
      <c r="AQ26" s="190"/>
      <c r="AR26" s="88"/>
      <c r="AS26" s="185"/>
      <c r="AT26" s="185"/>
      <c r="AU26" s="185"/>
      <c r="AV26" s="15">
        <f>AY26*BB26</f>
        <v>0</v>
      </c>
      <c r="AW26" s="185"/>
      <c r="AX26" s="186"/>
      <c r="AY26" s="191">
        <f>Tiere!R27</f>
        <v>0</v>
      </c>
      <c r="AZ26" s="191">
        <f>Tiere!S27</f>
        <v>0</v>
      </c>
      <c r="BA26" s="191">
        <f>Tiere!T27</f>
        <v>0</v>
      </c>
      <c r="BB26" s="191">
        <f>Tiere!U27</f>
        <v>0</v>
      </c>
      <c r="BC26" s="186"/>
      <c r="BD26" s="186"/>
      <c r="BE26" s="186"/>
      <c r="BF26" s="186"/>
      <c r="BG26" s="15">
        <f>AZ26*$BB26</f>
        <v>0</v>
      </c>
      <c r="BH26" s="186"/>
      <c r="BI26" s="186"/>
      <c r="BJ26" s="186"/>
      <c r="BK26" s="186"/>
      <c r="BL26" s="186"/>
      <c r="BM26" s="15">
        <f>BA26*$BB26</f>
        <v>0</v>
      </c>
      <c r="BN26" s="186"/>
      <c r="BO26" s="183"/>
      <c r="BP26"/>
      <c r="BT26"/>
      <c r="BU26"/>
    </row>
    <row r="27" spans="1:112" ht="13.5" thickBot="1">
      <c r="A27" s="1">
        <v>23</v>
      </c>
      <c r="B27" s="102" t="str">
        <f t="shared" si="41"/>
        <v>23 - Milchkühe (5000 kg Milch) - Gülle</v>
      </c>
      <c r="C27" s="103" t="s">
        <v>123</v>
      </c>
      <c r="D27" s="104">
        <v>74.400000000000006</v>
      </c>
      <c r="E27" s="105"/>
      <c r="F27" s="105"/>
      <c r="G27" s="105"/>
      <c r="H27" s="106"/>
      <c r="I27" s="107">
        <v>11.5</v>
      </c>
      <c r="J27" s="15"/>
      <c r="K27" s="108"/>
      <c r="L27" s="107">
        <v>1</v>
      </c>
      <c r="M27" s="108">
        <v>1</v>
      </c>
      <c r="N27" s="107">
        <v>28.2</v>
      </c>
      <c r="O27" s="15"/>
      <c r="P27" s="15"/>
      <c r="Q27" s="84"/>
      <c r="R27" s="109"/>
      <c r="S27" s="95">
        <v>148.9</v>
      </c>
      <c r="T27" s="84"/>
      <c r="U27" s="84"/>
      <c r="V27" s="84"/>
      <c r="W27" s="109"/>
      <c r="X27" s="118"/>
      <c r="Y27" s="119"/>
      <c r="Z27" s="119"/>
      <c r="AA27" s="120"/>
      <c r="AB27" s="119"/>
      <c r="AC27" s="119"/>
      <c r="AD27" s="119"/>
      <c r="AE27" s="120"/>
      <c r="AF27" s="107">
        <v>64.7</v>
      </c>
      <c r="AG27" s="15"/>
      <c r="AH27" s="108"/>
      <c r="AI27" s="113" t="s">
        <v>123</v>
      </c>
      <c r="AJ27" s="114">
        <v>85</v>
      </c>
      <c r="AK27" s="115">
        <v>85</v>
      </c>
      <c r="AL27" s="100">
        <f t="shared" si="42"/>
        <v>2</v>
      </c>
      <c r="AM27" s="8"/>
      <c r="AN27" s="195"/>
      <c r="AO27" s="196"/>
      <c r="AP27" s="126" t="s">
        <v>23</v>
      </c>
      <c r="AQ27" s="197"/>
      <c r="AR27" s="198"/>
      <c r="AS27" s="185"/>
      <c r="AT27" s="185"/>
      <c r="AU27" s="185"/>
      <c r="AV27" s="185"/>
      <c r="AW27" s="15">
        <f>AY27*BB27</f>
        <v>0</v>
      </c>
      <c r="AX27" s="186"/>
      <c r="AY27" s="191">
        <f>Tiere!R28</f>
        <v>0</v>
      </c>
      <c r="AZ27" s="191">
        <f>Tiere!S28</f>
        <v>0</v>
      </c>
      <c r="BA27" s="191">
        <f>Tiere!T28</f>
        <v>0</v>
      </c>
      <c r="BB27" s="191">
        <f>Tiere!U28</f>
        <v>0</v>
      </c>
      <c r="BC27" s="186"/>
      <c r="BD27" s="186"/>
      <c r="BE27" s="186"/>
      <c r="BF27" s="186"/>
      <c r="BG27" s="186"/>
      <c r="BH27" s="15">
        <f>AZ27*$BB27</f>
        <v>0</v>
      </c>
      <c r="BI27" s="186" t="s">
        <v>124</v>
      </c>
      <c r="BJ27" s="186"/>
      <c r="BK27" s="186"/>
      <c r="BL27" s="186"/>
      <c r="BM27" s="186"/>
      <c r="BN27" s="15">
        <f>BA27*$BB27</f>
        <v>0</v>
      </c>
      <c r="BO27" s="183" t="s">
        <v>125</v>
      </c>
      <c r="BP27"/>
      <c r="BT27"/>
      <c r="BU27"/>
    </row>
    <row r="28" spans="1:112" ht="13.5" thickBot="1">
      <c r="A28" s="1">
        <v>24</v>
      </c>
      <c r="B28" s="102" t="str">
        <f t="shared" si="41"/>
        <v>24 - Milchkühe (5000 kg Milch) - Mist/Jauche</v>
      </c>
      <c r="C28" s="103" t="s">
        <v>126</v>
      </c>
      <c r="D28" s="104"/>
      <c r="E28" s="105"/>
      <c r="F28" s="105"/>
      <c r="G28" s="105">
        <v>20.399999999999999</v>
      </c>
      <c r="H28" s="106">
        <v>40.9</v>
      </c>
      <c r="I28" s="107"/>
      <c r="J28" s="15">
        <v>3.8</v>
      </c>
      <c r="K28" s="108">
        <v>7.4</v>
      </c>
      <c r="L28" s="107">
        <v>1</v>
      </c>
      <c r="M28" s="108">
        <v>1</v>
      </c>
      <c r="N28" s="107"/>
      <c r="O28" s="15"/>
      <c r="P28" s="15"/>
      <c r="Q28" s="84">
        <v>1.41</v>
      </c>
      <c r="R28" s="109">
        <v>26.79</v>
      </c>
      <c r="S28" s="95"/>
      <c r="T28" s="84"/>
      <c r="U28" s="84"/>
      <c r="V28" s="84">
        <v>49.137</v>
      </c>
      <c r="W28" s="109">
        <v>99.763000000000005</v>
      </c>
      <c r="X28" s="118"/>
      <c r="Y28" s="119"/>
      <c r="Z28" s="119"/>
      <c r="AA28" s="120"/>
      <c r="AB28" s="119"/>
      <c r="AC28" s="119"/>
      <c r="AD28" s="119"/>
      <c r="AE28" s="120"/>
      <c r="AF28" s="107"/>
      <c r="AG28" s="15">
        <v>17.7</v>
      </c>
      <c r="AH28" s="108">
        <v>37.1</v>
      </c>
      <c r="AI28" s="113" t="s">
        <v>126</v>
      </c>
      <c r="AJ28" s="114">
        <v>85</v>
      </c>
      <c r="AK28" s="115">
        <v>85</v>
      </c>
      <c r="AL28" s="100">
        <f t="shared" si="42"/>
        <v>2</v>
      </c>
      <c r="AM28" s="8"/>
      <c r="AN28" s="199"/>
      <c r="AO28" s="196"/>
      <c r="AP28" s="200" t="s">
        <v>127</v>
      </c>
      <c r="AQ28" s="201"/>
      <c r="AR28" s="201"/>
      <c r="AS28" s="202">
        <f>AS23</f>
        <v>0</v>
      </c>
      <c r="AT28" s="202">
        <f>AT24</f>
        <v>0</v>
      </c>
      <c r="AU28" s="202">
        <f>AU25</f>
        <v>0</v>
      </c>
      <c r="AV28" s="202">
        <f>AV26</f>
        <v>0</v>
      </c>
      <c r="AW28" s="203">
        <f>AW27</f>
        <v>0</v>
      </c>
      <c r="AX28" s="204">
        <f>SUM(AS28:AW28)</f>
        <v>0</v>
      </c>
      <c r="AY28" s="59"/>
      <c r="AZ28" s="16"/>
      <c r="BA28" s="57"/>
      <c r="BB28" s="205"/>
      <c r="BC28" s="206"/>
      <c r="BD28" s="207">
        <f>BD20+BD23</f>
        <v>0</v>
      </c>
      <c r="BE28" s="207">
        <f>BE20+BE24</f>
        <v>0</v>
      </c>
      <c r="BF28" s="207">
        <f>BF20+BF25</f>
        <v>0</v>
      </c>
      <c r="BG28" s="207">
        <f>BG20+BG26</f>
        <v>0</v>
      </c>
      <c r="BH28" s="208">
        <f>BH20+BH27</f>
        <v>0</v>
      </c>
      <c r="BI28" s="209">
        <f>SUM(BD28:BH28)</f>
        <v>0</v>
      </c>
      <c r="BJ28" s="210">
        <f>BJ20+BJ23</f>
        <v>0</v>
      </c>
      <c r="BK28" s="207">
        <f>BK20+BK24</f>
        <v>0</v>
      </c>
      <c r="BL28" s="207">
        <f>BL20+BL25</f>
        <v>0</v>
      </c>
      <c r="BM28" s="207">
        <f>BM20+BM26</f>
        <v>0</v>
      </c>
      <c r="BN28" s="207">
        <f>BN20+BN27</f>
        <v>0</v>
      </c>
      <c r="BO28" s="209">
        <f>SUM(BJ28:BN28)</f>
        <v>0</v>
      </c>
      <c r="BP28" s="131" t="s">
        <v>128</v>
      </c>
      <c r="BT28" s="211"/>
      <c r="BU28" s="211"/>
    </row>
    <row r="29" spans="1:112" ht="13.5" thickBot="1">
      <c r="A29" s="1">
        <v>25</v>
      </c>
      <c r="B29" s="102" t="str">
        <f t="shared" si="41"/>
        <v>25 - Milchkühe (5000 kg Milch) - Tiefstallmist</v>
      </c>
      <c r="C29" s="103" t="s">
        <v>129</v>
      </c>
      <c r="D29" s="104"/>
      <c r="E29" s="105"/>
      <c r="F29" s="105"/>
      <c r="G29" s="105"/>
      <c r="H29" s="106">
        <v>61.3</v>
      </c>
      <c r="I29" s="107"/>
      <c r="J29" s="15"/>
      <c r="K29" s="108">
        <v>11.9</v>
      </c>
      <c r="L29" s="107">
        <v>1</v>
      </c>
      <c r="M29" s="108">
        <v>1</v>
      </c>
      <c r="N29" s="107"/>
      <c r="O29" s="15"/>
      <c r="P29" s="15"/>
      <c r="Q29" s="84"/>
      <c r="R29" s="109">
        <v>28.2</v>
      </c>
      <c r="S29" s="95"/>
      <c r="T29" s="84"/>
      <c r="U29" s="84"/>
      <c r="V29" s="84"/>
      <c r="W29" s="109">
        <v>148.9</v>
      </c>
      <c r="X29" s="118"/>
      <c r="Y29" s="119"/>
      <c r="Z29" s="119"/>
      <c r="AA29" s="120"/>
      <c r="AB29" s="119"/>
      <c r="AC29" s="119"/>
      <c r="AD29" s="119"/>
      <c r="AE29" s="120"/>
      <c r="AF29" s="107"/>
      <c r="AG29" s="15"/>
      <c r="AH29" s="108">
        <v>55.8</v>
      </c>
      <c r="AI29" s="113" t="s">
        <v>129</v>
      </c>
      <c r="AJ29" s="114">
        <v>85</v>
      </c>
      <c r="AK29" s="115">
        <v>85</v>
      </c>
      <c r="AL29" s="100">
        <f t="shared" si="42"/>
        <v>2</v>
      </c>
      <c r="AM29" s="8"/>
      <c r="AN29" s="199"/>
      <c r="AO29" s="196"/>
      <c r="AP29" s="200" t="s">
        <v>130</v>
      </c>
      <c r="AQ29" t="s">
        <v>131</v>
      </c>
      <c r="AS29"/>
      <c r="AT29"/>
      <c r="AU29"/>
      <c r="AV29"/>
      <c r="AW29"/>
      <c r="AX29" s="204">
        <f>BI49</f>
        <v>0</v>
      </c>
      <c r="AY29"/>
      <c r="AZ29"/>
      <c r="BA29"/>
      <c r="BB29"/>
      <c r="BC29"/>
      <c r="BD29" s="212">
        <f>CH20+CR20</f>
        <v>0</v>
      </c>
      <c r="BE29" s="212">
        <f>CI20+CS20</f>
        <v>0</v>
      </c>
      <c r="BF29" s="212">
        <f>CJ20+CT20</f>
        <v>0</v>
      </c>
      <c r="BG29" s="212">
        <f>CK20+CU20</f>
        <v>0</v>
      </c>
      <c r="BH29" s="212">
        <f>CL20+CV20</f>
        <v>0</v>
      </c>
      <c r="BI29" s="213">
        <f>SUM(BD29:BH29)</f>
        <v>0</v>
      </c>
      <c r="BJ29" s="212">
        <f>CM20+CW20</f>
        <v>0</v>
      </c>
      <c r="BK29" s="212">
        <f>CN20+CX20</f>
        <v>0</v>
      </c>
      <c r="BL29" s="212">
        <f>CO20+CY20</f>
        <v>0</v>
      </c>
      <c r="BM29" s="212">
        <f>CP20+CZ20</f>
        <v>0</v>
      </c>
      <c r="BN29" s="212">
        <f>CQ20+DA20</f>
        <v>0</v>
      </c>
      <c r="BO29" s="213">
        <f>SUM(BJ29:BN29)</f>
        <v>0</v>
      </c>
      <c r="BP29" s="131" t="s">
        <v>132</v>
      </c>
      <c r="BT29" s="211"/>
      <c r="BU29" s="211"/>
    </row>
    <row r="30" spans="1:112" ht="15" thickBot="1">
      <c r="A30" s="1">
        <v>26</v>
      </c>
      <c r="B30" s="102" t="str">
        <f t="shared" si="41"/>
        <v>26 - Milchkühe (6000 kg Milch) - Gülle</v>
      </c>
      <c r="C30" s="103" t="s">
        <v>133</v>
      </c>
      <c r="D30" s="104">
        <v>82</v>
      </c>
      <c r="E30" s="105"/>
      <c r="F30" s="105"/>
      <c r="G30" s="105"/>
      <c r="H30" s="106"/>
      <c r="I30" s="107">
        <v>11.8</v>
      </c>
      <c r="J30" s="15"/>
      <c r="K30" s="108"/>
      <c r="L30" s="107">
        <v>1</v>
      </c>
      <c r="M30" s="108">
        <v>1</v>
      </c>
      <c r="N30" s="107">
        <v>32.799999999999997</v>
      </c>
      <c r="O30" s="15"/>
      <c r="P30" s="15"/>
      <c r="Q30" s="84"/>
      <c r="R30" s="109"/>
      <c r="S30" s="95">
        <v>163.80000000000001</v>
      </c>
      <c r="T30" s="84"/>
      <c r="U30" s="84"/>
      <c r="V30" s="84"/>
      <c r="W30" s="109"/>
      <c r="X30" s="118"/>
      <c r="Y30" s="119"/>
      <c r="Z30" s="119"/>
      <c r="AA30" s="120"/>
      <c r="AB30" s="119"/>
      <c r="AC30" s="119"/>
      <c r="AD30" s="119"/>
      <c r="AE30" s="120"/>
      <c r="AF30" s="107">
        <v>71.3</v>
      </c>
      <c r="AG30" s="15"/>
      <c r="AH30" s="108"/>
      <c r="AI30" s="113" t="s">
        <v>133</v>
      </c>
      <c r="AJ30" s="114">
        <v>85</v>
      </c>
      <c r="AK30" s="115">
        <v>85</v>
      </c>
      <c r="AL30" s="100">
        <f t="shared" si="42"/>
        <v>2</v>
      </c>
      <c r="AM30" s="8"/>
      <c r="AN30" s="199"/>
      <c r="AO30" s="196"/>
      <c r="AP30" s="214" t="s">
        <v>134</v>
      </c>
      <c r="AQ30" t="s">
        <v>135</v>
      </c>
      <c r="AS30"/>
      <c r="AT30"/>
      <c r="AU30"/>
      <c r="AV30"/>
      <c r="AW30"/>
      <c r="AX30" s="204">
        <f>CG20</f>
        <v>0</v>
      </c>
      <c r="AY30"/>
      <c r="AZ30"/>
      <c r="BA30"/>
      <c r="BB30"/>
      <c r="BC30"/>
      <c r="BD30" s="215">
        <f>BD28-BD29</f>
        <v>0</v>
      </c>
      <c r="BE30" s="216">
        <f>BE28-BE29</f>
        <v>0</v>
      </c>
      <c r="BF30" s="216">
        <f>BF28-BF29</f>
        <v>0</v>
      </c>
      <c r="BG30" s="216">
        <f>BG28-BG29</f>
        <v>0</v>
      </c>
      <c r="BH30" s="216">
        <f>BH28-BH29</f>
        <v>0</v>
      </c>
      <c r="BI30" s="209">
        <f>SUM(BD30:BH30)</f>
        <v>0</v>
      </c>
      <c r="BJ30" s="216">
        <f>BJ28-BJ29</f>
        <v>0</v>
      </c>
      <c r="BK30" s="216">
        <f>BK28-BK29</f>
        <v>0</v>
      </c>
      <c r="BL30" s="216">
        <f>BL28-BL29</f>
        <v>0</v>
      </c>
      <c r="BM30" s="216">
        <f>BM28-BM29</f>
        <v>0</v>
      </c>
      <c r="BN30" s="216">
        <f>BN28-BN29</f>
        <v>0</v>
      </c>
      <c r="BO30" s="209">
        <f>SUM(BJ30:BN30)</f>
        <v>0</v>
      </c>
      <c r="BP30" s="131" t="s">
        <v>136</v>
      </c>
      <c r="BT30" s="217"/>
      <c r="BU30" s="217"/>
    </row>
    <row r="31" spans="1:112" ht="15.75" thickBot="1">
      <c r="A31" s="1">
        <v>27</v>
      </c>
      <c r="B31" s="102" t="str">
        <f t="shared" si="41"/>
        <v>27 - Milchkühe (6000 kg Milch) - Mist/Jauche</v>
      </c>
      <c r="C31" s="103" t="s">
        <v>137</v>
      </c>
      <c r="D31" s="104"/>
      <c r="E31" s="105"/>
      <c r="F31" s="105"/>
      <c r="G31" s="105">
        <v>22.5</v>
      </c>
      <c r="H31" s="106">
        <v>45.1</v>
      </c>
      <c r="I31" s="107"/>
      <c r="J31" s="15">
        <v>3.9</v>
      </c>
      <c r="K31" s="108">
        <v>7.6</v>
      </c>
      <c r="L31" s="107">
        <v>1</v>
      </c>
      <c r="M31" s="108">
        <v>1</v>
      </c>
      <c r="N31" s="107"/>
      <c r="O31" s="15"/>
      <c r="P31" s="15"/>
      <c r="Q31" s="84">
        <v>1.64</v>
      </c>
      <c r="R31" s="109">
        <v>31.16</v>
      </c>
      <c r="S31" s="95"/>
      <c r="T31" s="84"/>
      <c r="U31" s="84"/>
      <c r="V31" s="84">
        <v>54.054000000000002</v>
      </c>
      <c r="W31" s="109">
        <v>109.746</v>
      </c>
      <c r="X31" s="118"/>
      <c r="Y31" s="119"/>
      <c r="Z31" s="119"/>
      <c r="AA31" s="120"/>
      <c r="AB31" s="119"/>
      <c r="AC31" s="119"/>
      <c r="AD31" s="119"/>
      <c r="AE31" s="120"/>
      <c r="AF31" s="107"/>
      <c r="AG31" s="15">
        <v>19.600000000000001</v>
      </c>
      <c r="AH31" s="108">
        <v>41</v>
      </c>
      <c r="AI31" s="113" t="s">
        <v>137</v>
      </c>
      <c r="AJ31" s="114">
        <v>85</v>
      </c>
      <c r="AK31" s="115">
        <v>85</v>
      </c>
      <c r="AL31" s="100">
        <f t="shared" si="42"/>
        <v>2</v>
      </c>
      <c r="AM31" s="8"/>
      <c r="AN31" s="199"/>
      <c r="AO31" s="218"/>
      <c r="AP31" s="219" t="s">
        <v>138</v>
      </c>
      <c r="AQ31" t="s">
        <v>139</v>
      </c>
      <c r="AS31"/>
      <c r="AT31"/>
      <c r="AU31"/>
      <c r="AV31"/>
      <c r="AW31"/>
      <c r="AX31" s="204">
        <f>AX51+AX52+AX53</f>
        <v>0</v>
      </c>
      <c r="AY31"/>
      <c r="AZ31"/>
      <c r="BA31"/>
      <c r="BB31"/>
      <c r="BC31"/>
      <c r="BD31" s="220"/>
      <c r="BE31" s="221"/>
      <c r="BF31" s="221"/>
      <c r="BG31" s="221"/>
      <c r="BH31" s="222" t="s">
        <v>140</v>
      </c>
      <c r="BI31" s="223">
        <f>BI30-BJ49</f>
        <v>0</v>
      </c>
      <c r="BJ31" s="224"/>
      <c r="BK31" s="225"/>
      <c r="BL31" s="225"/>
      <c r="BM31" s="221"/>
      <c r="BN31" s="222" t="s">
        <v>141</v>
      </c>
      <c r="BO31" s="223">
        <f>BO30-BK49</f>
        <v>0</v>
      </c>
      <c r="BP31" s="131" t="s">
        <v>142</v>
      </c>
    </row>
    <row r="32" spans="1:112" ht="15.75" thickBot="1">
      <c r="A32" s="1">
        <v>28</v>
      </c>
      <c r="B32" s="102" t="str">
        <f t="shared" si="41"/>
        <v>28 - Milchkühe (6000 kg Milch) - Tiefstallmist</v>
      </c>
      <c r="C32" s="103" t="s">
        <v>143</v>
      </c>
      <c r="D32" s="104"/>
      <c r="E32" s="105"/>
      <c r="F32" s="105"/>
      <c r="G32" s="105"/>
      <c r="H32" s="106">
        <v>67.599999999999994</v>
      </c>
      <c r="I32" s="107"/>
      <c r="J32" s="15"/>
      <c r="K32" s="108">
        <v>12.1</v>
      </c>
      <c r="L32" s="107">
        <v>1</v>
      </c>
      <c r="M32" s="108">
        <v>1</v>
      </c>
      <c r="N32" s="107"/>
      <c r="O32" s="15"/>
      <c r="P32" s="15"/>
      <c r="Q32" s="84"/>
      <c r="R32" s="109">
        <v>32.799999999999997</v>
      </c>
      <c r="S32" s="95"/>
      <c r="T32" s="84"/>
      <c r="U32" s="84"/>
      <c r="V32" s="84"/>
      <c r="W32" s="109">
        <v>163.80000000000001</v>
      </c>
      <c r="X32" s="118"/>
      <c r="Y32" s="119"/>
      <c r="Z32" s="119"/>
      <c r="AA32" s="120"/>
      <c r="AB32" s="119"/>
      <c r="AC32" s="119"/>
      <c r="AD32" s="119"/>
      <c r="AE32" s="120"/>
      <c r="AF32" s="107"/>
      <c r="AG32" s="15"/>
      <c r="AH32" s="108">
        <v>61.5</v>
      </c>
      <c r="AI32" s="113" t="s">
        <v>143</v>
      </c>
      <c r="AJ32" s="114">
        <v>85</v>
      </c>
      <c r="AK32" s="115">
        <v>85</v>
      </c>
      <c r="AL32" s="100">
        <f t="shared" si="42"/>
        <v>2</v>
      </c>
      <c r="AM32" s="8"/>
      <c r="AN32"/>
      <c r="AP32" s="226" t="s">
        <v>144</v>
      </c>
      <c r="AQ32" s="227"/>
      <c r="AR32" s="227"/>
      <c r="AS32" s="227"/>
      <c r="AT32" s="227"/>
      <c r="AU32" s="227"/>
      <c r="AV32" s="227"/>
      <c r="AW32" s="228"/>
      <c r="AX32" s="229">
        <f>AX28-AX29-AX30</f>
        <v>0</v>
      </c>
      <c r="AY32"/>
      <c r="AZ32"/>
      <c r="BA32"/>
      <c r="BB32"/>
      <c r="BC32"/>
      <c r="BD32" s="220"/>
      <c r="BE32" s="221"/>
      <c r="BF32" s="221"/>
      <c r="BG32" s="221"/>
      <c r="BH32" s="222" t="s">
        <v>145</v>
      </c>
      <c r="BI32" s="230">
        <f>BI31+CI22</f>
        <v>0</v>
      </c>
      <c r="BJ32" s="231" t="s">
        <v>146</v>
      </c>
      <c r="BK32" s="232"/>
      <c r="BL32" s="233"/>
      <c r="BM32"/>
      <c r="BN32"/>
      <c r="BO32" s="230">
        <f>BO31+CN22</f>
        <v>0</v>
      </c>
    </row>
    <row r="33" spans="1:67" ht="15.75" thickBot="1">
      <c r="A33" s="1">
        <v>29</v>
      </c>
      <c r="B33" s="102" t="str">
        <f t="shared" si="41"/>
        <v>29 - Milchkühe (7000 kg Milch) - Gülle</v>
      </c>
      <c r="C33" s="103" t="s">
        <v>147</v>
      </c>
      <c r="D33" s="104">
        <v>89.7</v>
      </c>
      <c r="E33" s="105"/>
      <c r="F33" s="105"/>
      <c r="G33" s="105"/>
      <c r="H33" s="106"/>
      <c r="I33" s="107">
        <v>11.65</v>
      </c>
      <c r="J33" s="15"/>
      <c r="K33" s="108"/>
      <c r="L33" s="107">
        <v>1</v>
      </c>
      <c r="M33" s="108">
        <v>1</v>
      </c>
      <c r="N33" s="107">
        <v>37.4</v>
      </c>
      <c r="O33" s="15"/>
      <c r="P33" s="15"/>
      <c r="Q33" s="84"/>
      <c r="R33" s="109"/>
      <c r="S33" s="95">
        <v>178.7</v>
      </c>
      <c r="T33" s="84"/>
      <c r="U33" s="84"/>
      <c r="V33" s="84"/>
      <c r="W33" s="109"/>
      <c r="X33" s="118"/>
      <c r="Y33" s="119"/>
      <c r="Z33" s="119"/>
      <c r="AA33" s="120"/>
      <c r="AB33" s="119"/>
      <c r="AC33" s="119"/>
      <c r="AD33" s="119"/>
      <c r="AE33" s="120"/>
      <c r="AF33" s="107">
        <v>78</v>
      </c>
      <c r="AG33" s="15"/>
      <c r="AH33" s="108"/>
      <c r="AI33" s="113" t="s">
        <v>147</v>
      </c>
      <c r="AJ33" s="114">
        <v>85</v>
      </c>
      <c r="AK33" s="115">
        <v>85</v>
      </c>
      <c r="AL33" s="100">
        <f t="shared" si="42"/>
        <v>2</v>
      </c>
      <c r="AM33" s="8"/>
      <c r="AN33"/>
      <c r="AP33" s="234" t="s">
        <v>148</v>
      </c>
      <c r="AQ33" s="235"/>
      <c r="AR33" s="235"/>
      <c r="AS33" s="235"/>
      <c r="AT33" s="235"/>
      <c r="AU33" s="235"/>
      <c r="AV33" s="235"/>
      <c r="AW33" s="235"/>
      <c r="AX33" s="236">
        <f>AX20+AX31+AX32</f>
        <v>0</v>
      </c>
      <c r="AY33" s="237" t="s">
        <v>149</v>
      </c>
      <c r="AZ33" s="200"/>
      <c r="BA33"/>
      <c r="BB33"/>
      <c r="BC33"/>
      <c r="BD33"/>
      <c r="BE33"/>
      <c r="BF33"/>
      <c r="BG33"/>
      <c r="BH33"/>
      <c r="BI33" s="238">
        <f>Mineral!H50+Q177+BI32</f>
        <v>0</v>
      </c>
      <c r="BJ33" s="239" t="s">
        <v>150</v>
      </c>
      <c r="BK33" s="232"/>
      <c r="BL33" s="233"/>
      <c r="BM33"/>
      <c r="BN33"/>
      <c r="BO33" s="238">
        <f>Mineral!I50+R177+BO32</f>
        <v>0</v>
      </c>
    </row>
    <row r="34" spans="1:67">
      <c r="A34" s="1">
        <v>30</v>
      </c>
      <c r="B34" s="102" t="str">
        <f t="shared" si="41"/>
        <v>30 - Milchkühe (7000 kg Milch) - Mist/Jauche</v>
      </c>
      <c r="C34" s="103" t="s">
        <v>151</v>
      </c>
      <c r="D34" s="104"/>
      <c r="E34" s="105"/>
      <c r="F34" s="105"/>
      <c r="G34" s="105">
        <v>24.6</v>
      </c>
      <c r="H34" s="106">
        <v>49.3</v>
      </c>
      <c r="I34" s="107"/>
      <c r="J34" s="15">
        <v>3.85</v>
      </c>
      <c r="K34" s="108">
        <v>7.5</v>
      </c>
      <c r="L34" s="107">
        <v>1</v>
      </c>
      <c r="M34" s="108">
        <v>1</v>
      </c>
      <c r="N34" s="107"/>
      <c r="O34" s="15"/>
      <c r="P34" s="15"/>
      <c r="Q34" s="84">
        <v>1.87</v>
      </c>
      <c r="R34" s="109">
        <v>35.53</v>
      </c>
      <c r="S34" s="95"/>
      <c r="T34" s="84"/>
      <c r="U34" s="84"/>
      <c r="V34" s="84">
        <v>58.970999999999997</v>
      </c>
      <c r="W34" s="109">
        <v>119.729</v>
      </c>
      <c r="X34" s="118"/>
      <c r="Y34" s="119"/>
      <c r="Z34" s="119"/>
      <c r="AA34" s="120"/>
      <c r="AB34" s="119"/>
      <c r="AC34" s="119"/>
      <c r="AD34" s="119"/>
      <c r="AE34" s="120"/>
      <c r="AF34" s="107"/>
      <c r="AG34" s="15">
        <v>21.4</v>
      </c>
      <c r="AH34" s="108">
        <v>44.8</v>
      </c>
      <c r="AI34" s="113" t="s">
        <v>151</v>
      </c>
      <c r="AJ34" s="114">
        <v>85</v>
      </c>
      <c r="AK34" s="115">
        <v>85</v>
      </c>
      <c r="AL34" s="100">
        <f t="shared" si="42"/>
        <v>2</v>
      </c>
      <c r="AM34" s="8"/>
      <c r="AN34"/>
      <c r="AS34"/>
      <c r="AT34"/>
      <c r="AU34"/>
      <c r="AV34"/>
      <c r="AW34"/>
      <c r="AX34"/>
      <c r="AY34"/>
      <c r="AZ34"/>
      <c r="BA34" s="240"/>
      <c r="BB34"/>
      <c r="BC34"/>
      <c r="BD34"/>
      <c r="BE34"/>
      <c r="BF34"/>
      <c r="BG34"/>
      <c r="BH34"/>
      <c r="BI34"/>
      <c r="BJ34"/>
      <c r="BK34"/>
      <c r="BL34"/>
      <c r="BM34"/>
      <c r="BN34"/>
      <c r="BO34"/>
    </row>
    <row r="35" spans="1:67" ht="13.5" customHeight="1" thickBot="1">
      <c r="A35" s="1">
        <v>31</v>
      </c>
      <c r="B35" s="102" t="str">
        <f t="shared" si="41"/>
        <v>31 - Milchkühe (7000 kg Milch) - Tiefstallmist</v>
      </c>
      <c r="C35" s="103" t="s">
        <v>152</v>
      </c>
      <c r="D35" s="104"/>
      <c r="E35" s="105"/>
      <c r="F35" s="105"/>
      <c r="G35" s="105"/>
      <c r="H35" s="106">
        <v>73.900000000000006</v>
      </c>
      <c r="I35" s="107"/>
      <c r="J35" s="15"/>
      <c r="K35" s="108">
        <v>12</v>
      </c>
      <c r="L35" s="107">
        <v>1</v>
      </c>
      <c r="M35" s="108">
        <v>1</v>
      </c>
      <c r="N35" s="107"/>
      <c r="O35" s="15"/>
      <c r="P35" s="15"/>
      <c r="Q35" s="84"/>
      <c r="R35" s="109">
        <v>37.4</v>
      </c>
      <c r="S35" s="95"/>
      <c r="T35" s="84"/>
      <c r="U35" s="84"/>
      <c r="V35" s="84"/>
      <c r="W35" s="109">
        <v>178.7</v>
      </c>
      <c r="X35" s="118"/>
      <c r="Y35" s="119"/>
      <c r="Z35" s="119"/>
      <c r="AA35" s="120"/>
      <c r="AB35" s="119"/>
      <c r="AC35" s="119"/>
      <c r="AD35" s="119"/>
      <c r="AE35" s="120"/>
      <c r="AF35" s="107"/>
      <c r="AG35" s="15"/>
      <c r="AH35" s="108">
        <v>67.2</v>
      </c>
      <c r="AI35" s="113" t="s">
        <v>152</v>
      </c>
      <c r="AJ35" s="114">
        <v>85</v>
      </c>
      <c r="AK35" s="115">
        <v>85</v>
      </c>
      <c r="AL35" s="100">
        <f t="shared" si="42"/>
        <v>2</v>
      </c>
      <c r="AM35" s="8"/>
      <c r="AN35"/>
      <c r="AP35" s="241" t="s">
        <v>153</v>
      </c>
      <c r="AQ35" s="242"/>
      <c r="AR35" s="242"/>
      <c r="AS35" s="243">
        <f>BV20+CB20</f>
        <v>0</v>
      </c>
      <c r="AT35" s="243">
        <f>BW20+CC20</f>
        <v>0</v>
      </c>
      <c r="AU35" s="243">
        <f>BX20+CD20</f>
        <v>0</v>
      </c>
      <c r="AV35" s="243">
        <f>BY20+CE20</f>
        <v>0</v>
      </c>
      <c r="AW35" s="243">
        <f>BZ20+CF20</f>
        <v>0</v>
      </c>
      <c r="AX35" s="244">
        <f>SUM(AS35:AW35)</f>
        <v>0</v>
      </c>
      <c r="AY35" s="3136" t="s">
        <v>154</v>
      </c>
      <c r="AZ35" s="3136"/>
      <c r="BA35" s="3136"/>
      <c r="BB35"/>
      <c r="BC35"/>
      <c r="BD35"/>
      <c r="BE35"/>
      <c r="BF35"/>
      <c r="BG35"/>
      <c r="BH35"/>
      <c r="BI35"/>
      <c r="BJ35"/>
      <c r="BK35"/>
      <c r="BL35"/>
      <c r="BM35"/>
      <c r="BN35"/>
      <c r="BO35"/>
    </row>
    <row r="36" spans="1:67" ht="15" thickBot="1">
      <c r="A36" s="1">
        <v>32</v>
      </c>
      <c r="B36" s="102" t="str">
        <f t="shared" si="41"/>
        <v>32 - Milchkühe (8000 kg Milch) - Gülle</v>
      </c>
      <c r="C36" s="103" t="s">
        <v>155</v>
      </c>
      <c r="D36" s="104">
        <v>97.3</v>
      </c>
      <c r="E36" s="105"/>
      <c r="F36" s="105"/>
      <c r="G36" s="105"/>
      <c r="H36" s="106"/>
      <c r="I36" s="107">
        <v>11.95</v>
      </c>
      <c r="J36" s="15"/>
      <c r="K36" s="108"/>
      <c r="L36" s="107">
        <v>1</v>
      </c>
      <c r="M36" s="108">
        <v>1</v>
      </c>
      <c r="N36" s="107">
        <v>41.9</v>
      </c>
      <c r="O36" s="15"/>
      <c r="P36" s="15"/>
      <c r="Q36" s="84"/>
      <c r="R36" s="109"/>
      <c r="S36" s="95">
        <v>193.6</v>
      </c>
      <c r="T36" s="84"/>
      <c r="U36" s="84"/>
      <c r="V36" s="84"/>
      <c r="W36" s="109"/>
      <c r="X36" s="118"/>
      <c r="Y36" s="119"/>
      <c r="Z36" s="119"/>
      <c r="AA36" s="120"/>
      <c r="AB36" s="119"/>
      <c r="AC36" s="119"/>
      <c r="AD36" s="119"/>
      <c r="AE36" s="120"/>
      <c r="AF36" s="107">
        <v>84.7</v>
      </c>
      <c r="AG36" s="15"/>
      <c r="AH36" s="108"/>
      <c r="AI36" s="113" t="s">
        <v>155</v>
      </c>
      <c r="AJ36" s="114">
        <v>85</v>
      </c>
      <c r="AK36" s="115">
        <v>85</v>
      </c>
      <c r="AL36" s="100">
        <f t="shared" si="42"/>
        <v>2</v>
      </c>
      <c r="AM36" s="8"/>
      <c r="AN36"/>
      <c r="AP36" s="245" t="s">
        <v>156</v>
      </c>
      <c r="AQ36" s="245"/>
      <c r="AR36" s="246"/>
      <c r="AS36" s="215">
        <f>AS20+AS28-AS35</f>
        <v>0</v>
      </c>
      <c r="AT36" s="215">
        <f>AT20+AT28-AT35</f>
        <v>0</v>
      </c>
      <c r="AU36" s="215">
        <f>AU20+AU28-AU35</f>
        <v>0</v>
      </c>
      <c r="AV36" s="215">
        <f>AV20+AV28-AV35</f>
        <v>0</v>
      </c>
      <c r="AW36" s="215">
        <f>AW20+AW28-AW35</f>
        <v>0</v>
      </c>
      <c r="AX36" s="247">
        <f>SUM(AS36:AW36)</f>
        <v>0</v>
      </c>
      <c r="AY36" s="3136"/>
      <c r="AZ36" s="3136"/>
      <c r="BA36" s="3136"/>
      <c r="BB36"/>
      <c r="BC36"/>
      <c r="BD36"/>
      <c r="BE36"/>
      <c r="BF36"/>
      <c r="BG36"/>
      <c r="BH36"/>
      <c r="BI36"/>
      <c r="BJ36"/>
      <c r="BK36"/>
      <c r="BL36"/>
      <c r="BM36"/>
      <c r="BN36"/>
      <c r="BO36"/>
    </row>
    <row r="37" spans="1:67" ht="15.75" thickBot="1">
      <c r="A37" s="1">
        <v>33</v>
      </c>
      <c r="B37" s="102" t="str">
        <f t="shared" si="41"/>
        <v>33 - Milchkühe (8000 kg Milch) - Mist/Jauche</v>
      </c>
      <c r="C37" s="103" t="s">
        <v>157</v>
      </c>
      <c r="D37" s="104"/>
      <c r="E37" s="105"/>
      <c r="F37" s="105"/>
      <c r="G37" s="105">
        <v>26.7</v>
      </c>
      <c r="H37" s="106">
        <v>53.5</v>
      </c>
      <c r="I37" s="107"/>
      <c r="J37" s="15">
        <v>3.95</v>
      </c>
      <c r="K37" s="108">
        <v>7.6</v>
      </c>
      <c r="L37" s="107">
        <v>1</v>
      </c>
      <c r="M37" s="108">
        <v>1</v>
      </c>
      <c r="N37" s="107"/>
      <c r="O37" s="15"/>
      <c r="P37" s="15"/>
      <c r="Q37" s="84">
        <v>2.0950000000000002</v>
      </c>
      <c r="R37" s="109">
        <v>39.805</v>
      </c>
      <c r="S37" s="95"/>
      <c r="T37" s="84"/>
      <c r="U37" s="84"/>
      <c r="V37" s="84">
        <v>63.887999999999998</v>
      </c>
      <c r="W37" s="109">
        <v>129.71199999999999</v>
      </c>
      <c r="X37" s="118"/>
      <c r="Y37" s="119"/>
      <c r="Z37" s="119"/>
      <c r="AA37" s="120"/>
      <c r="AB37" s="119"/>
      <c r="AC37" s="119"/>
      <c r="AD37" s="119"/>
      <c r="AE37" s="120"/>
      <c r="AF37" s="107"/>
      <c r="AG37" s="15">
        <v>23.2</v>
      </c>
      <c r="AH37" s="108">
        <v>48.6</v>
      </c>
      <c r="AI37" s="113" t="s">
        <v>157</v>
      </c>
      <c r="AJ37" s="114">
        <v>85</v>
      </c>
      <c r="AK37" s="115">
        <v>85</v>
      </c>
      <c r="AL37" s="100">
        <f t="shared" si="42"/>
        <v>2</v>
      </c>
      <c r="AM37" s="8"/>
      <c r="AN37"/>
      <c r="AP37" s="248"/>
      <c r="AQ37" s="249"/>
      <c r="AR37" s="249"/>
      <c r="AS37" s="250"/>
      <c r="AT37" s="250"/>
      <c r="AU37" s="250"/>
      <c r="AV37" s="250"/>
      <c r="AW37" s="250"/>
      <c r="AX37" s="251"/>
      <c r="AY37" s="3136"/>
      <c r="AZ37" s="3136"/>
      <c r="BA37" s="3136"/>
      <c r="BB37"/>
      <c r="BC37"/>
      <c r="BD37"/>
      <c r="BE37"/>
      <c r="BF37"/>
      <c r="BG37"/>
      <c r="BH37"/>
      <c r="BI37"/>
      <c r="BJ37"/>
      <c r="BK37"/>
      <c r="BL37"/>
      <c r="BM37"/>
      <c r="BN37"/>
      <c r="BO37"/>
    </row>
    <row r="38" spans="1:67">
      <c r="A38" s="1">
        <v>34</v>
      </c>
      <c r="B38" s="102" t="str">
        <f t="shared" si="41"/>
        <v>34 - Milchkühe (8000 kg Milch) - Tiefstallmist</v>
      </c>
      <c r="C38" s="103" t="s">
        <v>158</v>
      </c>
      <c r="D38" s="104"/>
      <c r="E38" s="105"/>
      <c r="F38" s="105"/>
      <c r="G38" s="105"/>
      <c r="H38" s="106">
        <v>80.2</v>
      </c>
      <c r="I38" s="107"/>
      <c r="J38" s="15"/>
      <c r="K38" s="108">
        <v>12.3</v>
      </c>
      <c r="L38" s="107">
        <v>1</v>
      </c>
      <c r="M38" s="108">
        <v>1</v>
      </c>
      <c r="N38" s="107"/>
      <c r="O38" s="15"/>
      <c r="P38" s="15"/>
      <c r="Q38" s="84"/>
      <c r="R38" s="109">
        <v>41.9</v>
      </c>
      <c r="S38" s="95"/>
      <c r="T38" s="84"/>
      <c r="U38" s="84"/>
      <c r="V38" s="84"/>
      <c r="W38" s="109">
        <v>193.6</v>
      </c>
      <c r="X38" s="118"/>
      <c r="Y38" s="119"/>
      <c r="Z38" s="119"/>
      <c r="AA38" s="120"/>
      <c r="AB38" s="119"/>
      <c r="AC38" s="119"/>
      <c r="AD38" s="119"/>
      <c r="AE38" s="120"/>
      <c r="AF38" s="107"/>
      <c r="AG38" s="15"/>
      <c r="AH38" s="108">
        <v>73</v>
      </c>
      <c r="AI38" s="113" t="s">
        <v>158</v>
      </c>
      <c r="AJ38" s="114">
        <v>85</v>
      </c>
      <c r="AK38" s="115">
        <v>85</v>
      </c>
      <c r="AL38" s="100">
        <f t="shared" si="42"/>
        <v>2</v>
      </c>
      <c r="AM38" s="8"/>
      <c r="AN38"/>
      <c r="AS38"/>
      <c r="AT38"/>
      <c r="AU38"/>
      <c r="AV38"/>
      <c r="AW38"/>
      <c r="AX38"/>
      <c r="AY38"/>
      <c r="AZ38"/>
      <c r="BA38"/>
      <c r="BB38"/>
      <c r="BC38"/>
      <c r="BD38"/>
      <c r="BE38"/>
      <c r="BF38"/>
      <c r="BG38"/>
      <c r="BH38"/>
      <c r="BI38"/>
      <c r="BJ38"/>
      <c r="BK38"/>
      <c r="BL38"/>
      <c r="BM38"/>
      <c r="BN38"/>
      <c r="BO38"/>
    </row>
    <row r="39" spans="1:67" ht="15">
      <c r="A39" s="1">
        <v>35</v>
      </c>
      <c r="B39" s="102" t="str">
        <f t="shared" si="41"/>
        <v>35 - Milchkühe (9000 kg Milch) - Gülle</v>
      </c>
      <c r="C39" s="103" t="s">
        <v>159</v>
      </c>
      <c r="D39" s="104">
        <v>105</v>
      </c>
      <c r="E39" s="105"/>
      <c r="F39" s="105"/>
      <c r="G39" s="105"/>
      <c r="H39" s="106"/>
      <c r="I39" s="107">
        <v>12.3</v>
      </c>
      <c r="J39" s="15"/>
      <c r="K39" s="108"/>
      <c r="L39" s="107">
        <v>1</v>
      </c>
      <c r="M39" s="108">
        <v>1</v>
      </c>
      <c r="N39" s="107">
        <v>46.5</v>
      </c>
      <c r="O39" s="15"/>
      <c r="P39" s="15"/>
      <c r="Q39" s="84"/>
      <c r="R39" s="109"/>
      <c r="S39" s="95">
        <v>208.5</v>
      </c>
      <c r="T39" s="84"/>
      <c r="U39" s="84"/>
      <c r="V39" s="84"/>
      <c r="W39" s="109"/>
      <c r="X39" s="118"/>
      <c r="Y39" s="119"/>
      <c r="Z39" s="119"/>
      <c r="AA39" s="120"/>
      <c r="AB39" s="119"/>
      <c r="AC39" s="119"/>
      <c r="AD39" s="119"/>
      <c r="AE39" s="120"/>
      <c r="AF39" s="107">
        <v>91.4</v>
      </c>
      <c r="AG39" s="15"/>
      <c r="AH39" s="108"/>
      <c r="AI39" s="113" t="s">
        <v>159</v>
      </c>
      <c r="AJ39" s="114">
        <v>85</v>
      </c>
      <c r="AK39" s="115">
        <v>85</v>
      </c>
      <c r="AL39" s="100">
        <f t="shared" si="42"/>
        <v>2</v>
      </c>
      <c r="AM39" s="8"/>
      <c r="AN39"/>
      <c r="AP39" s="252" t="s">
        <v>160</v>
      </c>
      <c r="AS39"/>
      <c r="AT39"/>
      <c r="AU39"/>
      <c r="AV39"/>
      <c r="AW39"/>
      <c r="AX39"/>
      <c r="AY39"/>
      <c r="AZ39"/>
      <c r="BA39"/>
      <c r="BB39"/>
      <c r="BC39"/>
      <c r="BD39"/>
      <c r="BE39"/>
      <c r="BF39"/>
      <c r="BG39"/>
      <c r="BH39"/>
      <c r="BI39"/>
      <c r="BJ39"/>
      <c r="BK39"/>
      <c r="BL39"/>
      <c r="BM39"/>
      <c r="BN39"/>
      <c r="BO39"/>
    </row>
    <row r="40" spans="1:67">
      <c r="A40" s="1">
        <v>36</v>
      </c>
      <c r="B40" s="102" t="str">
        <f t="shared" si="41"/>
        <v>36 - Milchkühe (9000 kg Milch) - Mist/Jauche</v>
      </c>
      <c r="C40" s="103" t="s">
        <v>161</v>
      </c>
      <c r="D40" s="104"/>
      <c r="E40" s="105"/>
      <c r="F40" s="105"/>
      <c r="G40" s="105">
        <v>28.8</v>
      </c>
      <c r="H40" s="106">
        <v>57.7</v>
      </c>
      <c r="I40" s="107"/>
      <c r="J40" s="15">
        <v>4.05</v>
      </c>
      <c r="K40" s="108">
        <v>7.9</v>
      </c>
      <c r="L40" s="107">
        <v>1</v>
      </c>
      <c r="M40" s="108">
        <v>1</v>
      </c>
      <c r="N40" s="107"/>
      <c r="O40" s="15"/>
      <c r="P40" s="15"/>
      <c r="Q40" s="84">
        <v>2.3250000000000002</v>
      </c>
      <c r="R40" s="109">
        <v>44.174999999999997</v>
      </c>
      <c r="S40" s="95"/>
      <c r="T40" s="84"/>
      <c r="U40" s="84"/>
      <c r="V40" s="84">
        <v>68.805000000000007</v>
      </c>
      <c r="W40" s="109">
        <v>139.69499999999999</v>
      </c>
      <c r="X40" s="118"/>
      <c r="Y40" s="119"/>
      <c r="Z40" s="119"/>
      <c r="AA40" s="120"/>
      <c r="AB40" s="119"/>
      <c r="AC40" s="119"/>
      <c r="AD40" s="119"/>
      <c r="AE40" s="120"/>
      <c r="AF40" s="107"/>
      <c r="AG40" s="15">
        <v>25.1</v>
      </c>
      <c r="AH40" s="108">
        <v>52.4</v>
      </c>
      <c r="AI40" s="113" t="s">
        <v>161</v>
      </c>
      <c r="AJ40" s="114">
        <v>85</v>
      </c>
      <c r="AK40" s="115">
        <v>85</v>
      </c>
      <c r="AL40" s="100">
        <f t="shared" si="42"/>
        <v>2</v>
      </c>
      <c r="AM40" s="8"/>
      <c r="AN40" s="253"/>
      <c r="AQ40" s="254" t="s">
        <v>162</v>
      </c>
      <c r="AR40" s="254" t="s">
        <v>163</v>
      </c>
      <c r="AS40" s="255" t="s">
        <v>164</v>
      </c>
      <c r="AT40" s="255" t="s">
        <v>165</v>
      </c>
      <c r="AU40" s="255" t="s">
        <v>23</v>
      </c>
      <c r="AV40" s="255" t="s">
        <v>166</v>
      </c>
      <c r="AW40" s="255" t="s">
        <v>167</v>
      </c>
      <c r="AX40" s="255" t="s">
        <v>168</v>
      </c>
      <c r="AY40"/>
      <c r="AZ40"/>
      <c r="BA40"/>
      <c r="BB40"/>
      <c r="BC40"/>
      <c r="BD40"/>
      <c r="BE40"/>
      <c r="BF40"/>
      <c r="BG40"/>
      <c r="BH40"/>
      <c r="BI40"/>
      <c r="BJ40"/>
      <c r="BK40"/>
      <c r="BL40"/>
      <c r="BM40"/>
      <c r="BN40"/>
      <c r="BO40"/>
    </row>
    <row r="41" spans="1:67" ht="15.75">
      <c r="A41" s="1">
        <v>37</v>
      </c>
      <c r="B41" s="102" t="str">
        <f t="shared" si="41"/>
        <v>37 - Milchkühe (9000 kg Milch) - Tiefstallmist</v>
      </c>
      <c r="C41" s="103" t="s">
        <v>169</v>
      </c>
      <c r="D41" s="104"/>
      <c r="E41" s="105"/>
      <c r="F41" s="105"/>
      <c r="G41" s="105"/>
      <c r="H41" s="106">
        <v>86.5</v>
      </c>
      <c r="I41" s="107"/>
      <c r="J41" s="15"/>
      <c r="K41" s="108">
        <v>12.6</v>
      </c>
      <c r="L41" s="107">
        <v>1</v>
      </c>
      <c r="M41" s="108">
        <v>1</v>
      </c>
      <c r="N41" s="107"/>
      <c r="O41" s="15"/>
      <c r="P41" s="15"/>
      <c r="Q41" s="84"/>
      <c r="R41" s="109">
        <v>46.5</v>
      </c>
      <c r="S41" s="95"/>
      <c r="T41" s="84"/>
      <c r="U41" s="84"/>
      <c r="V41" s="84"/>
      <c r="W41" s="109">
        <v>208.5</v>
      </c>
      <c r="X41" s="118"/>
      <c r="Y41" s="119"/>
      <c r="Z41" s="119"/>
      <c r="AA41" s="120"/>
      <c r="AB41" s="119"/>
      <c r="AC41" s="119"/>
      <c r="AD41" s="119"/>
      <c r="AE41" s="120"/>
      <c r="AF41" s="107"/>
      <c r="AG41" s="15"/>
      <c r="AH41" s="108">
        <v>78.7</v>
      </c>
      <c r="AI41" s="113" t="s">
        <v>169</v>
      </c>
      <c r="AJ41" s="114">
        <v>85</v>
      </c>
      <c r="AK41" s="115">
        <v>85</v>
      </c>
      <c r="AL41" s="100">
        <f t="shared" si="42"/>
        <v>2</v>
      </c>
      <c r="AM41" s="8"/>
      <c r="AP41" t="s">
        <v>170</v>
      </c>
      <c r="AQ41" s="256">
        <f>Organ__Dü!C25</f>
        <v>0</v>
      </c>
      <c r="AR41" s="256">
        <f>Organ__Dü!D25</f>
        <v>0</v>
      </c>
      <c r="AS41" s="256">
        <f>Organ__Dü!E25</f>
        <v>0</v>
      </c>
      <c r="AT41" s="256">
        <f>Organ__Dü!F25</f>
        <v>0</v>
      </c>
      <c r="AU41" s="256">
        <f>Organ__Dü!G25</f>
        <v>0</v>
      </c>
      <c r="AV41" s="256">
        <f>Organ__Dü!H25</f>
        <v>0</v>
      </c>
      <c r="AW41" s="256">
        <f>Organ__Dü!I25</f>
        <v>0</v>
      </c>
      <c r="AX41" s="256">
        <f>Organ__Dü!J25</f>
        <v>0</v>
      </c>
      <c r="AY41"/>
      <c r="AZ41"/>
      <c r="BA41"/>
      <c r="BB41"/>
      <c r="BC41"/>
      <c r="BD41" s="257" t="s">
        <v>171</v>
      </c>
      <c r="BE41"/>
      <c r="BF41"/>
      <c r="BG41"/>
      <c r="BH41"/>
      <c r="BI41" s="258" t="s">
        <v>172</v>
      </c>
      <c r="BJ41" s="259"/>
      <c r="BK41" s="260"/>
      <c r="BL41" s="261"/>
      <c r="BM41" s="261"/>
      <c r="BN41" s="262" t="s">
        <v>173</v>
      </c>
      <c r="BO41" s="263"/>
    </row>
    <row r="42" spans="1:67" ht="15.75">
      <c r="A42" s="1">
        <v>38</v>
      </c>
      <c r="B42" s="102" t="str">
        <f t="shared" si="41"/>
        <v>38 - Milchkühe (&gt; 10.000 kg Milch) - Gülle</v>
      </c>
      <c r="C42" s="103" t="s">
        <v>174</v>
      </c>
      <c r="D42" s="104">
        <v>112.6</v>
      </c>
      <c r="E42" s="105"/>
      <c r="F42" s="105"/>
      <c r="G42" s="105"/>
      <c r="H42" s="106"/>
      <c r="I42" s="107">
        <v>12.7</v>
      </c>
      <c r="J42" s="15"/>
      <c r="K42" s="108"/>
      <c r="L42" s="107">
        <v>1</v>
      </c>
      <c r="M42" s="108">
        <v>1</v>
      </c>
      <c r="N42" s="107">
        <v>51.1</v>
      </c>
      <c r="O42" s="15"/>
      <c r="P42" s="15"/>
      <c r="Q42" s="84"/>
      <c r="R42" s="109"/>
      <c r="S42" s="95">
        <v>223.4</v>
      </c>
      <c r="T42" s="84"/>
      <c r="U42" s="84"/>
      <c r="V42" s="84"/>
      <c r="W42" s="109"/>
      <c r="X42" s="118"/>
      <c r="Y42" s="119"/>
      <c r="Z42" s="119"/>
      <c r="AA42" s="120"/>
      <c r="AB42" s="119"/>
      <c r="AC42" s="119"/>
      <c r="AD42" s="119"/>
      <c r="AE42" s="120"/>
      <c r="AF42" s="107">
        <v>98</v>
      </c>
      <c r="AG42" s="15"/>
      <c r="AH42" s="108"/>
      <c r="AI42" s="113" t="s">
        <v>174</v>
      </c>
      <c r="AJ42" s="114">
        <v>85</v>
      </c>
      <c r="AK42" s="115">
        <v>85</v>
      </c>
      <c r="AL42" s="100">
        <f t="shared" si="42"/>
        <v>2</v>
      </c>
      <c r="AM42" s="8"/>
      <c r="AP42" t="s">
        <v>175</v>
      </c>
      <c r="AQ42" s="256">
        <f>Organ__Dü!C26</f>
        <v>0</v>
      </c>
      <c r="AR42" s="256">
        <f>Organ__Dü!D26</f>
        <v>0</v>
      </c>
      <c r="AS42" s="256">
        <f>Organ__Dü!E26</f>
        <v>0</v>
      </c>
      <c r="AT42" s="256">
        <f>Organ__Dü!F26</f>
        <v>0</v>
      </c>
      <c r="AU42" s="256">
        <f>Organ__Dü!G26</f>
        <v>0</v>
      </c>
      <c r="AV42" s="256">
        <f>Organ__Dü!H26</f>
        <v>0</v>
      </c>
      <c r="AW42" s="256">
        <f>Organ__Dü!I26</f>
        <v>0</v>
      </c>
      <c r="AX42" s="256">
        <f>Organ__Dü!J26</f>
        <v>0</v>
      </c>
      <c r="AY42"/>
      <c r="AZ42"/>
      <c r="BA42"/>
      <c r="BB42"/>
      <c r="BC42"/>
      <c r="BD42" s="264" t="s">
        <v>176</v>
      </c>
      <c r="BE42" s="265" t="s">
        <v>177</v>
      </c>
      <c r="BF42" s="266" t="s">
        <v>149</v>
      </c>
      <c r="BG42" s="267" t="s">
        <v>178</v>
      </c>
      <c r="BH42" s="268" t="s">
        <v>179</v>
      </c>
      <c r="BI42" s="269" t="s">
        <v>180</v>
      </c>
      <c r="BJ42" s="266" t="s">
        <v>124</v>
      </c>
      <c r="BK42" s="269" t="s">
        <v>125</v>
      </c>
      <c r="BL42" s="266" t="s">
        <v>181</v>
      </c>
      <c r="BM42" s="266" t="s">
        <v>182</v>
      </c>
      <c r="BN42" s="270" t="s">
        <v>183</v>
      </c>
      <c r="BO42" s="270" t="s">
        <v>182</v>
      </c>
    </row>
    <row r="43" spans="1:67" ht="15.75" thickBot="1">
      <c r="A43" s="1">
        <v>39</v>
      </c>
      <c r="B43" s="102" t="str">
        <f t="shared" si="41"/>
        <v>39 - Milchkühe (&gt; 10.000 kg Milch) - Mist/Jauche</v>
      </c>
      <c r="C43" s="103" t="s">
        <v>184</v>
      </c>
      <c r="D43" s="104"/>
      <c r="E43" s="105"/>
      <c r="F43" s="105"/>
      <c r="G43" s="105">
        <v>30.9</v>
      </c>
      <c r="H43" s="106">
        <v>61.9</v>
      </c>
      <c r="I43" s="107"/>
      <c r="J43" s="15">
        <v>4.2</v>
      </c>
      <c r="K43" s="108">
        <v>8.1</v>
      </c>
      <c r="L43" s="107">
        <v>1</v>
      </c>
      <c r="M43" s="108">
        <v>1</v>
      </c>
      <c r="N43" s="107"/>
      <c r="O43" s="15"/>
      <c r="P43" s="15"/>
      <c r="Q43" s="84">
        <v>2.5550000000000002</v>
      </c>
      <c r="R43" s="109">
        <v>48.545000000000002</v>
      </c>
      <c r="S43" s="95"/>
      <c r="T43" s="84"/>
      <c r="U43" s="84"/>
      <c r="V43" s="84">
        <v>73.721999999999994</v>
      </c>
      <c r="W43" s="109">
        <v>149.678</v>
      </c>
      <c r="X43" s="61"/>
      <c r="Y43" s="271"/>
      <c r="Z43" s="271"/>
      <c r="AA43" s="272"/>
      <c r="AB43" s="271"/>
      <c r="AC43" s="271"/>
      <c r="AD43" s="271"/>
      <c r="AE43" s="272"/>
      <c r="AF43" s="107"/>
      <c r="AG43" s="15">
        <v>26.9</v>
      </c>
      <c r="AH43" s="108">
        <v>56.2</v>
      </c>
      <c r="AI43" s="113" t="s">
        <v>184</v>
      </c>
      <c r="AJ43" s="114">
        <v>85</v>
      </c>
      <c r="AK43" s="115">
        <v>85</v>
      </c>
      <c r="AL43" s="100">
        <f t="shared" si="42"/>
        <v>2</v>
      </c>
      <c r="AM43" s="8"/>
      <c r="AP43" t="s">
        <v>185</v>
      </c>
      <c r="AQ43" s="256">
        <f>Organ__Dü!C27</f>
        <v>0</v>
      </c>
      <c r="AR43" s="256">
        <f>Organ__Dü!D27</f>
        <v>0</v>
      </c>
      <c r="AS43" s="256">
        <f>Organ__Dü!E27</f>
        <v>0</v>
      </c>
      <c r="AT43" s="256">
        <f>Organ__Dü!F27</f>
        <v>0</v>
      </c>
      <c r="AU43" s="256">
        <f>Organ__Dü!G27</f>
        <v>0</v>
      </c>
      <c r="AV43" s="256">
        <f>Organ__Dü!H27</f>
        <v>0</v>
      </c>
      <c r="AW43" s="256">
        <f>Organ__Dü!I27</f>
        <v>0</v>
      </c>
      <c r="AX43" s="256">
        <f>Organ__Dü!J27</f>
        <v>0</v>
      </c>
      <c r="AY43"/>
      <c r="AZ43"/>
      <c r="BA43"/>
      <c r="BB43"/>
      <c r="BC43"/>
      <c r="BD43" s="273" t="s">
        <v>186</v>
      </c>
      <c r="BE43" s="274">
        <f>Hofdung!G13</f>
        <v>0</v>
      </c>
      <c r="BF43" s="275">
        <f>Hofdung!H13</f>
        <v>0</v>
      </c>
      <c r="BG43" s="275">
        <f>Hofdung!K13</f>
        <v>0</v>
      </c>
      <c r="BH43" s="276">
        <f>Hofdung!L13</f>
        <v>0</v>
      </c>
      <c r="BI43" s="84">
        <f t="shared" ref="BI43:BI48" si="46">$BE43*BF43</f>
        <v>0</v>
      </c>
      <c r="BJ43" s="84">
        <f t="shared" ref="BJ43:BJ48" si="47">$BE43*BG43</f>
        <v>0</v>
      </c>
      <c r="BK43" s="84">
        <f t="shared" ref="BK43:BK48" si="48">$BE43*BH43</f>
        <v>0</v>
      </c>
      <c r="BL43" s="275">
        <f>Hofdung!I13</f>
        <v>0</v>
      </c>
      <c r="BM43" s="275">
        <f>Hofdung!J13</f>
        <v>0</v>
      </c>
      <c r="BN43" s="84">
        <f t="shared" ref="BN43:BN48" si="49">$BE43*BL43</f>
        <v>0</v>
      </c>
      <c r="BO43" s="84">
        <f t="shared" ref="BO43:BO48" si="50">$BE43*BM43</f>
        <v>0</v>
      </c>
    </row>
    <row r="44" spans="1:67" ht="15.75" thickBot="1">
      <c r="A44" s="1">
        <v>40</v>
      </c>
      <c r="B44" s="102" t="str">
        <f t="shared" si="41"/>
        <v>40 - Milchkühe (&gt; 10.000 kg Milch) - Tiefstallmist</v>
      </c>
      <c r="C44" s="103" t="s">
        <v>187</v>
      </c>
      <c r="D44" s="104"/>
      <c r="E44" s="105"/>
      <c r="F44" s="105"/>
      <c r="G44" s="105"/>
      <c r="H44" s="106">
        <v>92.8</v>
      </c>
      <c r="I44" s="107"/>
      <c r="J44" s="15"/>
      <c r="K44" s="108">
        <v>13</v>
      </c>
      <c r="L44" s="107">
        <v>1</v>
      </c>
      <c r="M44" s="108">
        <v>1</v>
      </c>
      <c r="N44" s="107"/>
      <c r="O44" s="15"/>
      <c r="P44" s="15"/>
      <c r="Q44" s="84"/>
      <c r="R44" s="109">
        <v>51.1</v>
      </c>
      <c r="S44" s="95"/>
      <c r="T44" s="84"/>
      <c r="U44" s="84"/>
      <c r="V44" s="84"/>
      <c r="W44" s="109">
        <v>223.4</v>
      </c>
      <c r="X44" s="277" t="s">
        <v>188</v>
      </c>
      <c r="Y44" s="184"/>
      <c r="Z44" s="184"/>
      <c r="AA44" s="184"/>
      <c r="AB44" s="184" t="s">
        <v>189</v>
      </c>
      <c r="AC44" s="184"/>
      <c r="AD44" s="184"/>
      <c r="AE44" s="278"/>
      <c r="AF44" s="107"/>
      <c r="AG44" s="15"/>
      <c r="AH44" s="108">
        <v>84.4</v>
      </c>
      <c r="AI44" s="113" t="s">
        <v>187</v>
      </c>
      <c r="AJ44" s="114">
        <v>85</v>
      </c>
      <c r="AK44" s="115">
        <v>85</v>
      </c>
      <c r="AL44" s="100">
        <f t="shared" si="42"/>
        <v>2</v>
      </c>
      <c r="AM44" s="8"/>
      <c r="AS44"/>
      <c r="AT44"/>
      <c r="AU44"/>
      <c r="AV44"/>
      <c r="AW44"/>
      <c r="AX44"/>
      <c r="AY44"/>
      <c r="AZ44"/>
      <c r="BA44"/>
      <c r="BB44"/>
      <c r="BC44"/>
      <c r="BD44" s="273" t="s">
        <v>190</v>
      </c>
      <c r="BE44" s="274">
        <f>Hofdung!G14</f>
        <v>0</v>
      </c>
      <c r="BF44" s="275">
        <f>Hofdung!H14</f>
        <v>0</v>
      </c>
      <c r="BG44" s="275">
        <f>Hofdung!K14</f>
        <v>0</v>
      </c>
      <c r="BH44" s="276">
        <f>Hofdung!L14</f>
        <v>0</v>
      </c>
      <c r="BI44" s="84">
        <f t="shared" si="46"/>
        <v>0</v>
      </c>
      <c r="BJ44" s="84">
        <f t="shared" si="47"/>
        <v>0</v>
      </c>
      <c r="BK44" s="84">
        <f t="shared" si="48"/>
        <v>0</v>
      </c>
      <c r="BL44" s="275">
        <f>Hofdung!I14</f>
        <v>0</v>
      </c>
      <c r="BM44" s="275">
        <f>Hofdung!J14</f>
        <v>0</v>
      </c>
      <c r="BN44" s="84">
        <f t="shared" si="49"/>
        <v>0</v>
      </c>
      <c r="BO44" s="84">
        <f t="shared" si="50"/>
        <v>0</v>
      </c>
    </row>
    <row r="45" spans="1:67" ht="15.75" thickBot="1">
      <c r="A45" s="1">
        <v>41</v>
      </c>
      <c r="B45" s="279" t="s">
        <v>191</v>
      </c>
      <c r="C45" s="48" t="s">
        <v>191</v>
      </c>
      <c r="D45" s="49"/>
      <c r="E45" s="50"/>
      <c r="F45" s="50"/>
      <c r="G45" s="50"/>
      <c r="H45" s="73"/>
      <c r="I45" s="51"/>
      <c r="J45" s="52"/>
      <c r="K45" s="53"/>
      <c r="L45" s="51"/>
      <c r="M45" s="53">
        <v>1</v>
      </c>
      <c r="N45" s="215" t="str">
        <f>Tiere!H4</f>
        <v>NEIN</v>
      </c>
      <c r="O45" s="52"/>
      <c r="P45" s="52"/>
      <c r="Q45" s="52"/>
      <c r="R45" s="53"/>
      <c r="S45" s="51"/>
      <c r="T45" s="52"/>
      <c r="U45" s="52"/>
      <c r="V45" s="52"/>
      <c r="W45" s="53"/>
      <c r="X45" s="51" t="s">
        <v>20</v>
      </c>
      <c r="Y45" s="52" t="s">
        <v>21</v>
      </c>
      <c r="Z45" s="52" t="s">
        <v>22</v>
      </c>
      <c r="AA45" s="52" t="s">
        <v>23</v>
      </c>
      <c r="AB45" s="52" t="s">
        <v>20</v>
      </c>
      <c r="AC45" s="52" t="s">
        <v>21</v>
      </c>
      <c r="AD45" s="52" t="s">
        <v>22</v>
      </c>
      <c r="AE45" s="53" t="s">
        <v>23</v>
      </c>
      <c r="AF45" s="51"/>
      <c r="AG45" s="52"/>
      <c r="AH45" s="53"/>
      <c r="AI45" s="280" t="s">
        <v>191</v>
      </c>
      <c r="AJ45" s="57"/>
      <c r="AK45" s="281"/>
      <c r="AL45" s="100"/>
      <c r="AM45" s="8"/>
      <c r="AS45"/>
      <c r="AT45"/>
      <c r="AU45"/>
      <c r="AV45"/>
      <c r="AW45"/>
      <c r="AX45"/>
      <c r="AY45"/>
      <c r="AZ45"/>
      <c r="BA45"/>
      <c r="BB45"/>
      <c r="BC45"/>
      <c r="BD45" s="273" t="s">
        <v>192</v>
      </c>
      <c r="BE45" s="274">
        <f>Hofdung!G15</f>
        <v>0</v>
      </c>
      <c r="BF45" s="275">
        <f>Hofdung!H15</f>
        <v>0</v>
      </c>
      <c r="BG45" s="275">
        <f>Hofdung!K15</f>
        <v>0</v>
      </c>
      <c r="BH45" s="276">
        <f>Hofdung!L15</f>
        <v>0</v>
      </c>
      <c r="BI45" s="84">
        <f t="shared" si="46"/>
        <v>0</v>
      </c>
      <c r="BJ45" s="84">
        <f t="shared" si="47"/>
        <v>0</v>
      </c>
      <c r="BK45" s="84">
        <f t="shared" si="48"/>
        <v>0</v>
      </c>
      <c r="BL45" s="275">
        <f>Hofdung!I15</f>
        <v>0</v>
      </c>
      <c r="BM45" s="275">
        <f>Hofdung!J15</f>
        <v>0</v>
      </c>
      <c r="BN45" s="84">
        <f t="shared" si="49"/>
        <v>0</v>
      </c>
      <c r="BO45" s="84">
        <f t="shared" si="50"/>
        <v>0</v>
      </c>
    </row>
    <row r="46" spans="1:67" ht="16.5">
      <c r="A46" s="1">
        <v>42</v>
      </c>
      <c r="B46" s="102" t="str">
        <f t="shared" ref="B46:B72" si="51">A46&amp;" - "&amp;C46</f>
        <v>42 - Ferkel 8 bis 32 kg Lebendgewicht (LG) Standard-Fütterung - Gülle</v>
      </c>
      <c r="C46" s="103" t="s">
        <v>193</v>
      </c>
      <c r="D46" s="104"/>
      <c r="E46" s="105">
        <v>2.5</v>
      </c>
      <c r="F46" s="105"/>
      <c r="G46" s="105"/>
      <c r="H46" s="106"/>
      <c r="I46" s="107">
        <v>0.30000000000000004</v>
      </c>
      <c r="J46" s="15"/>
      <c r="K46" s="108"/>
      <c r="L46" s="107">
        <v>7.0000000000000007E-2</v>
      </c>
      <c r="M46" s="108">
        <v>1</v>
      </c>
      <c r="N46" s="282"/>
      <c r="O46" s="283">
        <f>IF(Tabelle1!$N$45="JA",Tabelle1!AB46,Tabelle1!X46)</f>
        <v>2</v>
      </c>
      <c r="P46" s="284"/>
      <c r="Q46" s="285"/>
      <c r="R46" s="286"/>
      <c r="S46" s="282"/>
      <c r="T46" s="283">
        <v>2.1</v>
      </c>
      <c r="U46" s="284"/>
      <c r="V46" s="285"/>
      <c r="W46" s="286"/>
      <c r="X46" s="107">
        <v>2</v>
      </c>
      <c r="Y46" s="15"/>
      <c r="Z46" s="15"/>
      <c r="AA46" s="15"/>
      <c r="AB46" s="15">
        <v>1.4</v>
      </c>
      <c r="AC46" s="15"/>
      <c r="AD46" s="15" t="s">
        <v>194</v>
      </c>
      <c r="AE46" s="108"/>
      <c r="AF46" s="107">
        <v>2.2000000000000002</v>
      </c>
      <c r="AG46" s="15"/>
      <c r="AH46" s="108"/>
      <c r="AI46" s="113" t="s">
        <v>193</v>
      </c>
      <c r="AJ46" s="115">
        <v>2.2999999999999998</v>
      </c>
      <c r="AK46" s="287"/>
      <c r="AL46" s="288"/>
      <c r="AM46" s="8"/>
      <c r="AQ46" s="289" t="s">
        <v>195</v>
      </c>
      <c r="AR46" s="9"/>
      <c r="AS46"/>
      <c r="AT46"/>
      <c r="AU46"/>
      <c r="AV46"/>
      <c r="AW46"/>
      <c r="AX46"/>
      <c r="AY46"/>
      <c r="AZ46"/>
      <c r="BA46"/>
      <c r="BB46"/>
      <c r="BC46"/>
      <c r="BD46" s="273" t="s">
        <v>196</v>
      </c>
      <c r="BE46" s="274">
        <f>Hofdung!G16</f>
        <v>0</v>
      </c>
      <c r="BF46" s="275">
        <f>Hofdung!H16</f>
        <v>0</v>
      </c>
      <c r="BG46" s="275">
        <f>Hofdung!K16</f>
        <v>0</v>
      </c>
      <c r="BH46" s="276">
        <f>Hofdung!L16</f>
        <v>0</v>
      </c>
      <c r="BI46" s="84">
        <f t="shared" si="46"/>
        <v>0</v>
      </c>
      <c r="BJ46" s="84">
        <f t="shared" si="47"/>
        <v>0</v>
      </c>
      <c r="BK46" s="84">
        <f t="shared" si="48"/>
        <v>0</v>
      </c>
      <c r="BL46" s="275">
        <f>Hofdung!I16</f>
        <v>0</v>
      </c>
      <c r="BM46" s="275">
        <f>Hofdung!J16</f>
        <v>0</v>
      </c>
      <c r="BN46" s="84">
        <f t="shared" si="49"/>
        <v>0</v>
      </c>
      <c r="BO46" s="84">
        <f t="shared" si="50"/>
        <v>0</v>
      </c>
    </row>
    <row r="47" spans="1:67" ht="17.25" thickBot="1">
      <c r="A47" s="1">
        <v>43</v>
      </c>
      <c r="B47" s="102" t="str">
        <f t="shared" si="51"/>
        <v>43 - Ferkel 8 bis 32 kg Lebendgewicht (LG) Standard-Fütterung - Mist/Jauche</v>
      </c>
      <c r="C47" s="103" t="s">
        <v>197</v>
      </c>
      <c r="D47" s="104"/>
      <c r="E47" s="105"/>
      <c r="F47" s="105"/>
      <c r="G47" s="105">
        <v>0.8</v>
      </c>
      <c r="H47" s="106">
        <v>1.6</v>
      </c>
      <c r="I47" s="107"/>
      <c r="J47" s="15">
        <v>0.05</v>
      </c>
      <c r="K47" s="108">
        <v>0.13</v>
      </c>
      <c r="L47" s="107">
        <v>7.0000000000000007E-2</v>
      </c>
      <c r="M47" s="108">
        <v>1</v>
      </c>
      <c r="N47" s="290"/>
      <c r="O47" s="291"/>
      <c r="P47" s="292"/>
      <c r="Q47" s="293">
        <f>IF(Tabelle1!$N$45="JA",Tabelle1!AD47,Tabelle1!Z47)</f>
        <v>0.1</v>
      </c>
      <c r="R47" s="294">
        <f>IF(Tabelle1!$N$45="JA",Tabelle1!AE47,Tabelle1!AA47)</f>
        <v>1.9</v>
      </c>
      <c r="S47" s="290"/>
      <c r="T47" s="291"/>
      <c r="U47" s="292"/>
      <c r="V47" s="293">
        <v>0.21</v>
      </c>
      <c r="W47" s="294">
        <v>1.89</v>
      </c>
      <c r="X47" s="107"/>
      <c r="Y47" s="15"/>
      <c r="Z47" s="15">
        <v>0.1</v>
      </c>
      <c r="AA47" s="15">
        <v>1.9</v>
      </c>
      <c r="AB47" s="15"/>
      <c r="AC47" s="15"/>
      <c r="AD47" s="15">
        <v>7.0000000000000007E-2</v>
      </c>
      <c r="AE47" s="108">
        <v>1.33</v>
      </c>
      <c r="AF47" s="107"/>
      <c r="AG47" s="15">
        <v>0.7</v>
      </c>
      <c r="AH47" s="108">
        <v>1.5</v>
      </c>
      <c r="AI47" s="113" t="s">
        <v>197</v>
      </c>
      <c r="AJ47" s="115">
        <v>2.2999999999999998</v>
      </c>
      <c r="AK47" s="287"/>
      <c r="AL47" s="288"/>
      <c r="AM47" s="8"/>
      <c r="AP47" s="9"/>
      <c r="AQ47" s="125" t="s">
        <v>198</v>
      </c>
      <c r="AR47" s="125" t="s">
        <v>199</v>
      </c>
      <c r="AS47" s="125" t="s">
        <v>200</v>
      </c>
      <c r="AT47" s="125" t="s">
        <v>22</v>
      </c>
      <c r="AU47" s="125" t="s">
        <v>23</v>
      </c>
      <c r="AV47" s="125" t="s">
        <v>201</v>
      </c>
      <c r="AW47" s="125" t="s">
        <v>167</v>
      </c>
      <c r="AX47"/>
      <c r="AY47"/>
      <c r="AZ47"/>
      <c r="BA47"/>
      <c r="BB47"/>
      <c r="BC47"/>
      <c r="BD47" s="273" t="s">
        <v>202</v>
      </c>
      <c r="BE47" s="274">
        <f>Hofdung!G17</f>
        <v>0</v>
      </c>
      <c r="BF47" s="275">
        <f>Hofdung!H17</f>
        <v>0</v>
      </c>
      <c r="BG47" s="275">
        <f>Hofdung!K17</f>
        <v>0</v>
      </c>
      <c r="BH47" s="276">
        <f>Hofdung!L17</f>
        <v>0</v>
      </c>
      <c r="BI47" s="84">
        <f t="shared" si="46"/>
        <v>0</v>
      </c>
      <c r="BJ47" s="84">
        <f t="shared" si="47"/>
        <v>0</v>
      </c>
      <c r="BK47" s="84">
        <f t="shared" si="48"/>
        <v>0</v>
      </c>
      <c r="BL47" s="275">
        <f>Hofdung!I17</f>
        <v>0</v>
      </c>
      <c r="BM47" s="275">
        <f>Hofdung!J17</f>
        <v>0</v>
      </c>
      <c r="BN47" s="84">
        <f t="shared" si="49"/>
        <v>0</v>
      </c>
      <c r="BO47" s="84">
        <f t="shared" si="50"/>
        <v>0</v>
      </c>
    </row>
    <row r="48" spans="1:67" ht="17.25" thickBot="1">
      <c r="A48" s="1">
        <v>44</v>
      </c>
      <c r="B48" s="102" t="str">
        <f t="shared" si="51"/>
        <v>44 - Ferkel 8 bis 32 kg Lebendgewicht (LG) Standard-Fütterung - Tiefstallmist</v>
      </c>
      <c r="C48" s="103" t="s">
        <v>203</v>
      </c>
      <c r="D48" s="104"/>
      <c r="E48" s="105"/>
      <c r="F48" s="105"/>
      <c r="G48" s="105"/>
      <c r="H48" s="106">
        <v>2.2999999999999998</v>
      </c>
      <c r="I48" s="107"/>
      <c r="J48" s="15"/>
      <c r="K48" s="108">
        <v>0.33</v>
      </c>
      <c r="L48" s="107">
        <v>7.0000000000000007E-2</v>
      </c>
      <c r="M48" s="108">
        <v>1</v>
      </c>
      <c r="N48" s="290"/>
      <c r="O48" s="291"/>
      <c r="P48" s="292"/>
      <c r="Q48" s="293"/>
      <c r="R48" s="294">
        <f>IF(Tabelle1!$N$45="JA",Tabelle1!AE48,Tabelle1!AA48)</f>
        <v>2</v>
      </c>
      <c r="S48" s="290"/>
      <c r="T48" s="291"/>
      <c r="U48" s="292"/>
      <c r="V48" s="293"/>
      <c r="W48" s="294">
        <v>2.1</v>
      </c>
      <c r="X48" s="107"/>
      <c r="Y48" s="15"/>
      <c r="Z48" s="15"/>
      <c r="AA48" s="15">
        <v>2</v>
      </c>
      <c r="AB48" s="15"/>
      <c r="AC48" s="15"/>
      <c r="AD48" s="15"/>
      <c r="AE48" s="108">
        <v>1.4</v>
      </c>
      <c r="AF48" s="107"/>
      <c r="AG48" s="15"/>
      <c r="AH48" s="108">
        <v>2.1</v>
      </c>
      <c r="AI48" s="113" t="s">
        <v>203</v>
      </c>
      <c r="AJ48" s="115">
        <v>2.2999999999999998</v>
      </c>
      <c r="AK48" s="287"/>
      <c r="AL48" s="288"/>
      <c r="AM48" s="8"/>
      <c r="AP48" s="131" t="s">
        <v>204</v>
      </c>
      <c r="AQ48" s="295">
        <f>AS20</f>
        <v>0</v>
      </c>
      <c r="AR48" s="295">
        <f>AT20</f>
        <v>0</v>
      </c>
      <c r="AS48" s="295">
        <f>AU20</f>
        <v>0</v>
      </c>
      <c r="AT48" s="295">
        <f>AV20</f>
        <v>0</v>
      </c>
      <c r="AU48" s="295">
        <f>AW20</f>
        <v>0</v>
      </c>
      <c r="AV48" s="296"/>
      <c r="AW48" s="296"/>
      <c r="AX48" s="297">
        <f t="shared" ref="AX48:AX53" si="52">SUM(AQ48:AW48)</f>
        <v>0</v>
      </c>
      <c r="AY48" s="289" t="s">
        <v>205</v>
      </c>
      <c r="AZ48"/>
      <c r="BA48"/>
      <c r="BB48"/>
      <c r="BC48"/>
      <c r="BD48" s="273" t="s">
        <v>206</v>
      </c>
      <c r="BE48" s="274">
        <f>Hofdung!G18</f>
        <v>0</v>
      </c>
      <c r="BF48" s="275">
        <f>Hofdung!H18</f>
        <v>0</v>
      </c>
      <c r="BG48" s="275">
        <f>Hofdung!K18</f>
        <v>0</v>
      </c>
      <c r="BH48" s="276">
        <f>Hofdung!L18</f>
        <v>0</v>
      </c>
      <c r="BI48" s="84">
        <f t="shared" si="46"/>
        <v>0</v>
      </c>
      <c r="BJ48" s="84">
        <f t="shared" si="47"/>
        <v>0</v>
      </c>
      <c r="BK48" s="84">
        <f t="shared" si="48"/>
        <v>0</v>
      </c>
      <c r="BL48" s="275">
        <f>Hofdung!I18</f>
        <v>0</v>
      </c>
      <c r="BM48" s="275">
        <f>Hofdung!J18</f>
        <v>0</v>
      </c>
      <c r="BN48" s="84">
        <f t="shared" si="49"/>
        <v>0</v>
      </c>
      <c r="BO48" s="84">
        <f t="shared" si="50"/>
        <v>0</v>
      </c>
    </row>
    <row r="49" spans="1:67" ht="17.25" thickBot="1">
      <c r="A49" s="1">
        <v>45</v>
      </c>
      <c r="B49" s="102" t="str">
        <f t="shared" si="51"/>
        <v>45 - Ferkel 8 bis 32 kg Lebendgewicht (LG) N-reduzierte-Fütterung - Gülle</v>
      </c>
      <c r="C49" s="103" t="s">
        <v>207</v>
      </c>
      <c r="D49" s="104"/>
      <c r="E49" s="105">
        <v>2.4</v>
      </c>
      <c r="F49" s="105"/>
      <c r="G49" s="105"/>
      <c r="H49" s="106"/>
      <c r="I49" s="107">
        <v>0.30000000000000004</v>
      </c>
      <c r="J49" s="15"/>
      <c r="K49" s="108"/>
      <c r="L49" s="107">
        <v>7.0000000000000007E-2</v>
      </c>
      <c r="M49" s="108">
        <v>1</v>
      </c>
      <c r="N49" s="290"/>
      <c r="O49" s="298">
        <f>IF(Tabelle1!$N$45="JA",Tabelle1!AB49,Tabelle1!X49)</f>
        <v>2</v>
      </c>
      <c r="P49" s="292"/>
      <c r="Q49" s="299"/>
      <c r="R49" s="300"/>
      <c r="S49" s="290"/>
      <c r="T49" s="298">
        <v>2.1</v>
      </c>
      <c r="U49" s="292"/>
      <c r="V49" s="299"/>
      <c r="W49" s="300"/>
      <c r="X49" s="107">
        <v>2</v>
      </c>
      <c r="Y49" s="15"/>
      <c r="Z49" s="15"/>
      <c r="AA49" s="15"/>
      <c r="AB49" s="15">
        <v>1.4</v>
      </c>
      <c r="AC49" s="15"/>
      <c r="AD49" s="15"/>
      <c r="AE49" s="108"/>
      <c r="AF49" s="107">
        <v>2.1</v>
      </c>
      <c r="AG49" s="15"/>
      <c r="AH49" s="108"/>
      <c r="AI49" s="113" t="s">
        <v>207</v>
      </c>
      <c r="AJ49" s="115">
        <v>2.2999999999999998</v>
      </c>
      <c r="AK49" s="287"/>
      <c r="AL49" s="288"/>
      <c r="AM49" s="8"/>
      <c r="AP49" t="s">
        <v>208</v>
      </c>
      <c r="AQ49" s="295">
        <f>-CB20</f>
        <v>0</v>
      </c>
      <c r="AR49" s="295">
        <f>-CC20</f>
        <v>0</v>
      </c>
      <c r="AS49" s="295">
        <f>-CD20</f>
        <v>0</v>
      </c>
      <c r="AT49" s="295">
        <f>-CE20</f>
        <v>0</v>
      </c>
      <c r="AU49" s="295">
        <f>-CF20</f>
        <v>0</v>
      </c>
      <c r="AV49" s="296"/>
      <c r="AW49" s="296"/>
      <c r="AX49" s="297">
        <f t="shared" si="52"/>
        <v>0</v>
      </c>
      <c r="AY49"/>
      <c r="AZ49"/>
      <c r="BA49"/>
      <c r="BB49"/>
      <c r="BC49"/>
      <c r="BD49" s="301"/>
      <c r="BE49" s="302"/>
      <c r="BF49" s="302"/>
      <c r="BG49" s="302"/>
      <c r="BH49" s="302" t="s">
        <v>93</v>
      </c>
      <c r="BI49" s="303">
        <f>SUM(BI43:BI48)</f>
        <v>0</v>
      </c>
      <c r="BJ49" s="303">
        <f>SUM(BJ43:BJ48)</f>
        <v>0</v>
      </c>
      <c r="BK49" s="303">
        <f>SUM(BK43:BK48)</f>
        <v>0</v>
      </c>
      <c r="BL49" s="302"/>
      <c r="BM49" s="302"/>
      <c r="BN49" s="304">
        <f>SUM(BN43:BN48)</f>
        <v>0</v>
      </c>
      <c r="BO49" s="303">
        <f>SUM(BO43:BO48)</f>
        <v>0</v>
      </c>
    </row>
    <row r="50" spans="1:67" ht="17.25" thickBot="1">
      <c r="A50" s="1">
        <v>46</v>
      </c>
      <c r="B50" s="102" t="str">
        <f t="shared" si="51"/>
        <v>46 - Ferkel 8 bis 32 kg Lebendgewicht (LG) N-reduzierte-Fütterung - Mist/Jauche</v>
      </c>
      <c r="C50" s="103" t="s">
        <v>209</v>
      </c>
      <c r="D50" s="104"/>
      <c r="E50" s="105"/>
      <c r="F50" s="105"/>
      <c r="G50" s="105">
        <v>0.7</v>
      </c>
      <c r="H50" s="106">
        <v>1.5</v>
      </c>
      <c r="I50" s="107"/>
      <c r="J50" s="15">
        <v>0.05</v>
      </c>
      <c r="K50" s="108">
        <v>0.13</v>
      </c>
      <c r="L50" s="107">
        <v>7.0000000000000007E-2</v>
      </c>
      <c r="M50" s="108">
        <v>1</v>
      </c>
      <c r="N50" s="290"/>
      <c r="O50" s="291"/>
      <c r="P50" s="292"/>
      <c r="Q50" s="298">
        <f>IF(Tabelle1!$N$45="JA",Tabelle1!AD50,Tabelle1!Z50)</f>
        <v>0.1</v>
      </c>
      <c r="R50" s="305">
        <f>IF(Tabelle1!$N$45="JA",Tabelle1!AE50,Tabelle1!AA50)</f>
        <v>1.9</v>
      </c>
      <c r="S50" s="290"/>
      <c r="T50" s="291"/>
      <c r="U50" s="292"/>
      <c r="V50" s="298">
        <v>0.21</v>
      </c>
      <c r="W50" s="305">
        <v>1.89</v>
      </c>
      <c r="X50" s="107"/>
      <c r="Y50" s="15"/>
      <c r="Z50" s="15">
        <v>0.1</v>
      </c>
      <c r="AA50" s="15">
        <v>1.9</v>
      </c>
      <c r="AB50" s="15"/>
      <c r="AC50" s="15"/>
      <c r="AD50" s="15">
        <v>7.0000000000000007E-2</v>
      </c>
      <c r="AE50" s="108">
        <v>1.33</v>
      </c>
      <c r="AF50" s="107"/>
      <c r="AG50" s="15">
        <v>0.60000000000000009</v>
      </c>
      <c r="AH50" s="108">
        <v>1.4</v>
      </c>
      <c r="AI50" s="113" t="s">
        <v>209</v>
      </c>
      <c r="AJ50" s="115">
        <v>2.2999999999999998</v>
      </c>
      <c r="AK50" s="287"/>
      <c r="AL50" s="288"/>
      <c r="AM50" s="8"/>
      <c r="AP50" s="306" t="s">
        <v>210</v>
      </c>
      <c r="AQ50" s="295">
        <f>AS23</f>
        <v>0</v>
      </c>
      <c r="AR50" s="295">
        <f>AT24</f>
        <v>0</v>
      </c>
      <c r="AS50" s="295">
        <f>AU25</f>
        <v>0</v>
      </c>
      <c r="AT50" s="295">
        <f>AV26</f>
        <v>0</v>
      </c>
      <c r="AU50" s="307">
        <f>AW27</f>
        <v>0</v>
      </c>
      <c r="AV50" s="308"/>
      <c r="AW50" s="308"/>
      <c r="AX50" s="297">
        <f t="shared" si="52"/>
        <v>0</v>
      </c>
      <c r="AY50"/>
      <c r="AZ50"/>
      <c r="BA50"/>
      <c r="BB50"/>
      <c r="BC50"/>
      <c r="BD50"/>
    </row>
    <row r="51" spans="1:67" ht="17.25" thickBot="1">
      <c r="A51" s="1">
        <v>47</v>
      </c>
      <c r="B51" s="102" t="str">
        <f t="shared" si="51"/>
        <v>47 - Ferkel 8 bis 32 kg Lebendgewicht (LG) N-reduzierte-Fütterung - Tiefstallmist</v>
      </c>
      <c r="C51" s="103" t="s">
        <v>211</v>
      </c>
      <c r="D51" s="104"/>
      <c r="E51" s="105"/>
      <c r="F51" s="105"/>
      <c r="G51" s="105"/>
      <c r="H51" s="106">
        <v>2.2000000000000002</v>
      </c>
      <c r="I51" s="107"/>
      <c r="J51" s="15"/>
      <c r="K51" s="108">
        <v>0.33</v>
      </c>
      <c r="L51" s="107">
        <v>7.0000000000000007E-2</v>
      </c>
      <c r="M51" s="108">
        <v>1</v>
      </c>
      <c r="N51" s="290"/>
      <c r="O51" s="291"/>
      <c r="P51" s="292"/>
      <c r="Q51" s="293"/>
      <c r="R51" s="305">
        <f>IF(Tabelle1!$N$45="JA",Tabelle1!AE51,Tabelle1!AA51)</f>
        <v>2</v>
      </c>
      <c r="S51" s="290"/>
      <c r="T51" s="291"/>
      <c r="U51" s="292"/>
      <c r="V51" s="293"/>
      <c r="W51" s="305">
        <v>2.1</v>
      </c>
      <c r="X51" s="107"/>
      <c r="Y51" s="15"/>
      <c r="Z51" s="15"/>
      <c r="AA51" s="15">
        <v>2</v>
      </c>
      <c r="AB51" s="15"/>
      <c r="AC51" s="15"/>
      <c r="AD51" s="15"/>
      <c r="AE51" s="108">
        <v>1.4</v>
      </c>
      <c r="AF51" s="107"/>
      <c r="AG51" s="15"/>
      <c r="AH51" s="108">
        <v>2</v>
      </c>
      <c r="AI51" s="113" t="s">
        <v>211</v>
      </c>
      <c r="AJ51" s="115">
        <v>2.2999999999999998</v>
      </c>
      <c r="AK51" s="287"/>
      <c r="AL51" s="288"/>
      <c r="AM51" s="8"/>
      <c r="AP51" s="131" t="s">
        <v>212</v>
      </c>
      <c r="AQ51" s="295">
        <f>Organ__Dü!C124</f>
        <v>0</v>
      </c>
      <c r="AR51" s="295">
        <f>Organ__Dü!D124</f>
        <v>0</v>
      </c>
      <c r="AS51" s="295">
        <f>Organ__Dü!E124</f>
        <v>0</v>
      </c>
      <c r="AT51" s="295">
        <f>Organ__Dü!F124</f>
        <v>0</v>
      </c>
      <c r="AU51" s="308"/>
      <c r="AV51" s="308"/>
      <c r="AW51" s="308"/>
      <c r="AX51" s="309">
        <f t="shared" si="52"/>
        <v>0</v>
      </c>
      <c r="AY51"/>
      <c r="AZ51"/>
      <c r="BA51"/>
      <c r="BB51"/>
      <c r="BC51"/>
      <c r="BD51"/>
    </row>
    <row r="52" spans="1:67" ht="17.25" thickBot="1">
      <c r="A52" s="1">
        <v>48</v>
      </c>
      <c r="B52" s="102" t="str">
        <f t="shared" si="51"/>
        <v xml:space="preserve">48 - MS + JS ab 32 kg LG bis Mastende/Belegung - Gülle </v>
      </c>
      <c r="C52" s="103" t="s">
        <v>213</v>
      </c>
      <c r="D52" s="104"/>
      <c r="E52" s="105">
        <v>7.5</v>
      </c>
      <c r="F52" s="105"/>
      <c r="G52" s="105"/>
      <c r="H52" s="106"/>
      <c r="I52" s="107">
        <v>0.7</v>
      </c>
      <c r="J52" s="15"/>
      <c r="K52" s="108"/>
      <c r="L52" s="107">
        <v>0.3</v>
      </c>
      <c r="M52" s="108">
        <v>1.26</v>
      </c>
      <c r="N52" s="290"/>
      <c r="O52" s="298">
        <f>IF(Tabelle1!$N$45="JA",Tabelle1!AB52,Tabelle1!X52)</f>
        <v>4.4000000000000004</v>
      </c>
      <c r="P52" s="292"/>
      <c r="Q52" s="299"/>
      <c r="R52" s="300"/>
      <c r="S52" s="290"/>
      <c r="T52" s="298">
        <v>5</v>
      </c>
      <c r="U52" s="292"/>
      <c r="V52" s="299"/>
      <c r="W52" s="300"/>
      <c r="X52" s="107">
        <v>4.4000000000000004</v>
      </c>
      <c r="Y52" s="15"/>
      <c r="Z52" s="15"/>
      <c r="AA52" s="15"/>
      <c r="AB52" s="15">
        <v>3.6</v>
      </c>
      <c r="AC52" s="15"/>
      <c r="AD52" s="15"/>
      <c r="AE52" s="108"/>
      <c r="AF52" s="107">
        <v>6.5</v>
      </c>
      <c r="AG52" s="15"/>
      <c r="AH52" s="108"/>
      <c r="AI52" s="113" t="s">
        <v>213</v>
      </c>
      <c r="AJ52" s="115">
        <v>12.14</v>
      </c>
      <c r="AK52" s="287">
        <v>12.14</v>
      </c>
      <c r="AL52" s="288">
        <f t="shared" ref="AL52:AL72" si="53">170/AK52</f>
        <v>14.00329489291598</v>
      </c>
      <c r="AM52" s="8"/>
      <c r="AP52" s="131" t="s">
        <v>214</v>
      </c>
      <c r="AQ52" s="308"/>
      <c r="AR52" s="308"/>
      <c r="AS52" s="308"/>
      <c r="AT52" s="308"/>
      <c r="AU52" s="295">
        <v>0</v>
      </c>
      <c r="AV52" s="308"/>
      <c r="AW52" s="308"/>
      <c r="AX52" s="309">
        <f t="shared" si="52"/>
        <v>0</v>
      </c>
      <c r="AY52"/>
      <c r="AZ52"/>
      <c r="BA52"/>
      <c r="BB52"/>
      <c r="BC52"/>
      <c r="BD52"/>
    </row>
    <row r="53" spans="1:67" ht="17.25" thickBot="1">
      <c r="A53" s="1">
        <v>49</v>
      </c>
      <c r="B53" s="102" t="str">
        <f t="shared" si="51"/>
        <v xml:space="preserve">49 - MS + JS ab 32 kg LG bis Mastende/Belegung - Mist/Jauche </v>
      </c>
      <c r="C53" s="103" t="s">
        <v>215</v>
      </c>
      <c r="D53" s="104"/>
      <c r="E53" s="105"/>
      <c r="F53" s="105"/>
      <c r="G53" s="105">
        <v>2.2999999999999998</v>
      </c>
      <c r="H53" s="106">
        <v>4.5999999999999996</v>
      </c>
      <c r="I53" s="107"/>
      <c r="J53" s="15">
        <v>0.23</v>
      </c>
      <c r="K53" s="108">
        <v>0.48</v>
      </c>
      <c r="L53" s="107">
        <v>0.3</v>
      </c>
      <c r="M53" s="108">
        <v>1.26</v>
      </c>
      <c r="N53" s="290"/>
      <c r="O53" s="291"/>
      <c r="P53" s="292"/>
      <c r="Q53" s="293">
        <f>IF(Tabelle1!$N$45="JA",Tabelle1!AD53,Tabelle1!Z53)</f>
        <v>0.22</v>
      </c>
      <c r="R53" s="294">
        <f>IF(Tabelle1!$N$45="JA",Tabelle1!AE53,Tabelle1!AA53)</f>
        <v>4.18</v>
      </c>
      <c r="S53" s="290"/>
      <c r="T53" s="291"/>
      <c r="U53" s="292"/>
      <c r="V53" s="293">
        <v>0.5</v>
      </c>
      <c r="W53" s="294">
        <v>4.5</v>
      </c>
      <c r="X53" s="107"/>
      <c r="Y53" s="15"/>
      <c r="Z53" s="15">
        <v>0.22</v>
      </c>
      <c r="AA53" s="15">
        <v>4.18</v>
      </c>
      <c r="AB53" s="15"/>
      <c r="AC53" s="15"/>
      <c r="AD53" s="15">
        <v>0.18</v>
      </c>
      <c r="AE53" s="108">
        <v>3.42</v>
      </c>
      <c r="AF53" s="107"/>
      <c r="AG53" s="15">
        <v>2</v>
      </c>
      <c r="AH53" s="108">
        <v>4.2</v>
      </c>
      <c r="AI53" s="113" t="s">
        <v>215</v>
      </c>
      <c r="AJ53" s="115">
        <v>12.14</v>
      </c>
      <c r="AK53" s="287">
        <v>12.14</v>
      </c>
      <c r="AL53" s="288">
        <f t="shared" si="53"/>
        <v>14.00329489291598</v>
      </c>
      <c r="AM53" s="8"/>
      <c r="AP53" s="131" t="s">
        <v>216</v>
      </c>
      <c r="AQ53" s="295">
        <f>Organ__Dü!C125</f>
        <v>0</v>
      </c>
      <c r="AR53" s="295">
        <f>Organ__Dü!D125</f>
        <v>0</v>
      </c>
      <c r="AS53" s="295">
        <f>Organ__Dü!E125</f>
        <v>0</v>
      </c>
      <c r="AT53" s="295">
        <f>Organ__Dü!F125</f>
        <v>0</v>
      </c>
      <c r="AU53" s="295">
        <f>Organ__Dü!G125</f>
        <v>0</v>
      </c>
      <c r="AV53" s="295">
        <f>Organ__Dü!H125</f>
        <v>0</v>
      </c>
      <c r="AW53" s="295">
        <f>Organ__Dü!I125</f>
        <v>0</v>
      </c>
      <c r="AX53" s="309">
        <f t="shared" si="52"/>
        <v>0</v>
      </c>
      <c r="AY53"/>
      <c r="AZ53"/>
      <c r="BA53"/>
      <c r="BB53"/>
      <c r="BC53"/>
      <c r="BD53"/>
    </row>
    <row r="54" spans="1:67" ht="17.25" thickBot="1">
      <c r="A54" s="1">
        <v>50</v>
      </c>
      <c r="B54" s="102" t="str">
        <f t="shared" si="51"/>
        <v xml:space="preserve">50 - MS + JS ab 32 kg LG bis Mastende/Belegung - Tiefstallmist </v>
      </c>
      <c r="C54" s="103" t="s">
        <v>217</v>
      </c>
      <c r="D54" s="104"/>
      <c r="E54" s="105"/>
      <c r="F54" s="105"/>
      <c r="G54" s="105"/>
      <c r="H54" s="106">
        <v>7</v>
      </c>
      <c r="I54" s="107"/>
      <c r="J54" s="15"/>
      <c r="K54" s="108">
        <v>0.77</v>
      </c>
      <c r="L54" s="107">
        <v>0.3</v>
      </c>
      <c r="M54" s="108">
        <v>1.26</v>
      </c>
      <c r="N54" s="290"/>
      <c r="O54" s="291"/>
      <c r="P54" s="292"/>
      <c r="Q54" s="293"/>
      <c r="R54" s="294">
        <f>IF(Tabelle1!$N$45="JA",Tabelle1!AE54,Tabelle1!AA54)</f>
        <v>4.4000000000000004</v>
      </c>
      <c r="S54" s="290"/>
      <c r="T54" s="291"/>
      <c r="U54" s="292"/>
      <c r="V54" s="293"/>
      <c r="W54" s="294">
        <v>5</v>
      </c>
      <c r="X54" s="107"/>
      <c r="Y54" s="15"/>
      <c r="Z54" s="15"/>
      <c r="AA54" s="15">
        <v>4.4000000000000004</v>
      </c>
      <c r="AB54" s="15"/>
      <c r="AC54" s="15"/>
      <c r="AD54" s="15"/>
      <c r="AE54" s="108">
        <v>3.6</v>
      </c>
      <c r="AF54" s="107"/>
      <c r="AG54" s="15"/>
      <c r="AH54" s="108">
        <v>6.4</v>
      </c>
      <c r="AI54" s="113" t="s">
        <v>217</v>
      </c>
      <c r="AJ54" s="115">
        <v>12.14</v>
      </c>
      <c r="AK54" s="287">
        <v>12.14</v>
      </c>
      <c r="AL54" s="288">
        <f t="shared" si="53"/>
        <v>14.00329489291598</v>
      </c>
      <c r="AM54" s="8"/>
      <c r="AP54" s="289" t="s">
        <v>218</v>
      </c>
      <c r="AQ54" s="295">
        <f t="shared" ref="AQ54:AX54" si="54">SUM(AQ48:AQ53)</f>
        <v>0</v>
      </c>
      <c r="AR54" s="295">
        <f t="shared" si="54"/>
        <v>0</v>
      </c>
      <c r="AS54" s="295">
        <f t="shared" si="54"/>
        <v>0</v>
      </c>
      <c r="AT54" s="295">
        <f t="shared" si="54"/>
        <v>0</v>
      </c>
      <c r="AU54" s="295">
        <f t="shared" si="54"/>
        <v>0</v>
      </c>
      <c r="AV54" s="295">
        <f t="shared" si="54"/>
        <v>0</v>
      </c>
      <c r="AW54" s="295">
        <f t="shared" si="54"/>
        <v>0</v>
      </c>
      <c r="AX54" s="297">
        <f t="shared" si="54"/>
        <v>0</v>
      </c>
      <c r="AY54" s="289" t="s">
        <v>219</v>
      </c>
      <c r="AZ54"/>
      <c r="BA54" s="155">
        <f>SUM(AQ54:AW54)</f>
        <v>0</v>
      </c>
      <c r="BB54"/>
      <c r="BC54"/>
      <c r="BD54"/>
    </row>
    <row r="55" spans="1:67" ht="17.25" thickBot="1">
      <c r="A55" s="1">
        <v>51</v>
      </c>
      <c r="B55" s="102" t="str">
        <f t="shared" si="51"/>
        <v xml:space="preserve">51 - MS + JS ab 32 kg LG bis Mastende/Belegung -N-reduzierte-Fütterung - Gülle </v>
      </c>
      <c r="C55" s="103" t="s">
        <v>220</v>
      </c>
      <c r="D55" s="104"/>
      <c r="E55" s="105">
        <v>6.9</v>
      </c>
      <c r="F55" s="105"/>
      <c r="G55" s="105"/>
      <c r="H55" s="106"/>
      <c r="I55" s="107">
        <v>0.7</v>
      </c>
      <c r="J55" s="15"/>
      <c r="K55" s="108"/>
      <c r="L55" s="107">
        <v>0.3</v>
      </c>
      <c r="M55" s="108">
        <v>1.26</v>
      </c>
      <c r="N55" s="290"/>
      <c r="O55" s="298">
        <f>IF(Tabelle1!$N$45="JA",Tabelle1!AB55,Tabelle1!X55)</f>
        <v>4.4000000000000004</v>
      </c>
      <c r="P55" s="292"/>
      <c r="Q55" s="299"/>
      <c r="R55" s="300"/>
      <c r="S55" s="290"/>
      <c r="T55" s="298">
        <v>5</v>
      </c>
      <c r="U55" s="292"/>
      <c r="V55" s="299"/>
      <c r="W55" s="300"/>
      <c r="X55" s="107">
        <v>4.4000000000000004</v>
      </c>
      <c r="Y55" s="15"/>
      <c r="Z55" s="15"/>
      <c r="AA55" s="15"/>
      <c r="AB55" s="15">
        <v>3.6</v>
      </c>
      <c r="AC55" s="15"/>
      <c r="AD55" s="15"/>
      <c r="AE55" s="108"/>
      <c r="AF55" s="107">
        <v>6</v>
      </c>
      <c r="AG55" s="15"/>
      <c r="AH55" s="108"/>
      <c r="AI55" s="113" t="s">
        <v>220</v>
      </c>
      <c r="AJ55" s="115">
        <v>12.14</v>
      </c>
      <c r="AK55" s="287">
        <v>12.14</v>
      </c>
      <c r="AL55" s="288">
        <f t="shared" si="53"/>
        <v>14.00329489291598</v>
      </c>
      <c r="AM55" s="8"/>
      <c r="AQ55" s="289" t="s">
        <v>221</v>
      </c>
      <c r="AR55" s="9"/>
      <c r="AS55"/>
      <c r="AT55"/>
      <c r="AU55"/>
      <c r="AV55"/>
      <c r="AW55"/>
      <c r="AX55" s="310">
        <f>BI49</f>
        <v>0</v>
      </c>
      <c r="AY55" s="9" t="s">
        <v>222</v>
      </c>
      <c r="AZ55"/>
      <c r="BA55"/>
      <c r="BB55"/>
      <c r="BC55"/>
      <c r="BD55"/>
    </row>
    <row r="56" spans="1:67" ht="17.25" thickBot="1">
      <c r="A56" s="1">
        <v>52</v>
      </c>
      <c r="B56" s="102" t="str">
        <f t="shared" si="51"/>
        <v xml:space="preserve">52 - MS + JS ab 32 kg LG bis Mastende/Belegung -N-reduzierte-Fütterung - Mist/Jauche </v>
      </c>
      <c r="C56" s="103" t="s">
        <v>223</v>
      </c>
      <c r="D56" s="104"/>
      <c r="E56" s="105"/>
      <c r="F56" s="105"/>
      <c r="G56" s="105">
        <v>2.1</v>
      </c>
      <c r="H56" s="106">
        <v>4.2</v>
      </c>
      <c r="I56" s="107"/>
      <c r="J56" s="15">
        <v>0.23</v>
      </c>
      <c r="K56" s="108">
        <v>0.48</v>
      </c>
      <c r="L56" s="107">
        <v>0.3</v>
      </c>
      <c r="M56" s="108">
        <v>1.26</v>
      </c>
      <c r="N56" s="290"/>
      <c r="O56" s="291"/>
      <c r="P56" s="292"/>
      <c r="Q56" s="293">
        <f>IF(Tabelle1!$N$45="JA",Tabelle1!AD56,Tabelle1!Z56)</f>
        <v>0.22</v>
      </c>
      <c r="R56" s="294">
        <f>IF(Tabelle1!$N$45="JA",Tabelle1!AE56,Tabelle1!AA56)</f>
        <v>4.18</v>
      </c>
      <c r="S56" s="290"/>
      <c r="T56" s="291"/>
      <c r="U56" s="292"/>
      <c r="V56" s="293">
        <v>0.5</v>
      </c>
      <c r="W56" s="294">
        <v>4.5</v>
      </c>
      <c r="X56" s="107"/>
      <c r="Y56" s="15"/>
      <c r="Z56" s="15">
        <v>0.22</v>
      </c>
      <c r="AA56" s="15">
        <v>4.18</v>
      </c>
      <c r="AB56" s="15"/>
      <c r="AC56" s="15"/>
      <c r="AD56" s="15">
        <v>0.18</v>
      </c>
      <c r="AE56" s="108">
        <v>3.42</v>
      </c>
      <c r="AF56" s="107"/>
      <c r="AG56" s="15">
        <v>1.8</v>
      </c>
      <c r="AH56" s="108">
        <v>3.8</v>
      </c>
      <c r="AI56" s="113" t="s">
        <v>223</v>
      </c>
      <c r="AJ56" s="115">
        <v>12.14</v>
      </c>
      <c r="AK56" s="287">
        <v>12.14</v>
      </c>
      <c r="AL56" s="288">
        <f t="shared" si="53"/>
        <v>14.00329489291598</v>
      </c>
      <c r="AM56" s="8"/>
      <c r="AQ56" s="311" t="s">
        <v>224</v>
      </c>
      <c r="AR56" s="312"/>
      <c r="AS56" s="313"/>
      <c r="AT56" s="313"/>
      <c r="AU56" s="313"/>
      <c r="AV56" s="313"/>
      <c r="AW56" s="313"/>
      <c r="AX56" s="236">
        <f>AX54-AX55</f>
        <v>0</v>
      </c>
      <c r="AY56" s="314" t="s">
        <v>149</v>
      </c>
      <c r="AZ56" s="200"/>
      <c r="BA56"/>
      <c r="BB56"/>
      <c r="BC56"/>
      <c r="BD56"/>
    </row>
    <row r="57" spans="1:67" ht="16.5">
      <c r="A57" s="1">
        <v>53</v>
      </c>
      <c r="B57" s="102" t="str">
        <f t="shared" si="51"/>
        <v xml:space="preserve">53 - MS + JS ab 32 kg LG bis Mastende/Belegung -N-reduzierte-Fütterung - Tiefstallmist </v>
      </c>
      <c r="C57" s="103" t="s">
        <v>225</v>
      </c>
      <c r="D57" s="104"/>
      <c r="E57" s="105"/>
      <c r="F57" s="105"/>
      <c r="G57" s="105"/>
      <c r="H57" s="106">
        <v>6.4</v>
      </c>
      <c r="I57" s="107"/>
      <c r="J57" s="15"/>
      <c r="K57" s="108">
        <v>0.77</v>
      </c>
      <c r="L57" s="107">
        <v>0.3</v>
      </c>
      <c r="M57" s="108">
        <v>1.26</v>
      </c>
      <c r="N57" s="290"/>
      <c r="O57" s="291"/>
      <c r="P57" s="292"/>
      <c r="Q57" s="293"/>
      <c r="R57" s="294">
        <f>IF(Tabelle1!$N$45="JA",Tabelle1!AE57,Tabelle1!AA57)</f>
        <v>4.4000000000000004</v>
      </c>
      <c r="S57" s="290"/>
      <c r="T57" s="291"/>
      <c r="U57" s="292"/>
      <c r="V57" s="293"/>
      <c r="W57" s="294">
        <v>5</v>
      </c>
      <c r="X57" s="107"/>
      <c r="Y57" s="15"/>
      <c r="Z57" s="15"/>
      <c r="AA57" s="15">
        <v>4.4000000000000004</v>
      </c>
      <c r="AB57" s="15"/>
      <c r="AC57" s="15"/>
      <c r="AD57" s="15"/>
      <c r="AE57" s="108">
        <v>3.6</v>
      </c>
      <c r="AF57" s="107"/>
      <c r="AG57" s="15"/>
      <c r="AH57" s="108">
        <v>5.8</v>
      </c>
      <c r="AI57" s="113" t="s">
        <v>225</v>
      </c>
      <c r="AJ57" s="115">
        <v>12.14</v>
      </c>
      <c r="AK57" s="287">
        <v>12.14</v>
      </c>
      <c r="AL57" s="288">
        <f t="shared" si="53"/>
        <v>14.00329489291598</v>
      </c>
      <c r="AM57" s="8"/>
      <c r="AS57"/>
      <c r="AT57"/>
      <c r="AU57"/>
      <c r="AV57"/>
      <c r="AW57"/>
      <c r="AX57" s="315" t="s">
        <v>226</v>
      </c>
      <c r="AY57" s="316" t="s">
        <v>227</v>
      </c>
      <c r="AZ57"/>
      <c r="BA57"/>
      <c r="BB57"/>
      <c r="BC57"/>
      <c r="BD57"/>
    </row>
    <row r="58" spans="1:67" ht="16.5">
      <c r="A58" s="1">
        <v>54</v>
      </c>
      <c r="B58" s="102" t="str">
        <f t="shared" si="51"/>
        <v xml:space="preserve">54 - MS + JS ab 32 kg LG bis Mastende/Belegung - stark-N-reduzierte-Fütterung - Gülle </v>
      </c>
      <c r="C58" s="103" t="s">
        <v>228</v>
      </c>
      <c r="D58" s="104"/>
      <c r="E58" s="105">
        <v>6.7</v>
      </c>
      <c r="F58" s="105"/>
      <c r="G58" s="105"/>
      <c r="H58" s="106"/>
      <c r="I58" s="107">
        <v>0.7</v>
      </c>
      <c r="J58" s="15"/>
      <c r="K58" s="108"/>
      <c r="L58" s="107">
        <v>0.3</v>
      </c>
      <c r="M58" s="108">
        <v>1.26</v>
      </c>
      <c r="N58" s="290"/>
      <c r="O58" s="298">
        <f>IF(Tabelle1!$N$45="JA",Tabelle1!AB58,Tabelle1!X58)</f>
        <v>4.4000000000000004</v>
      </c>
      <c r="P58" s="292"/>
      <c r="Q58" s="299"/>
      <c r="R58" s="300"/>
      <c r="S58" s="290"/>
      <c r="T58" s="298">
        <v>5</v>
      </c>
      <c r="U58" s="292"/>
      <c r="V58" s="299"/>
      <c r="W58" s="300"/>
      <c r="X58" s="107">
        <v>4.4000000000000004</v>
      </c>
      <c r="Y58" s="15"/>
      <c r="Z58" s="15"/>
      <c r="AA58" s="15"/>
      <c r="AB58" s="15">
        <v>3.6</v>
      </c>
      <c r="AC58" s="15"/>
      <c r="AD58" s="15"/>
      <c r="AE58" s="108"/>
      <c r="AF58" s="107">
        <v>5.8</v>
      </c>
      <c r="AG58" s="15"/>
      <c r="AH58" s="108"/>
      <c r="AI58" s="113" t="s">
        <v>228</v>
      </c>
      <c r="AJ58" s="115">
        <v>12.14</v>
      </c>
      <c r="AK58" s="287">
        <v>12.14</v>
      </c>
      <c r="AL58" s="288">
        <f t="shared" si="53"/>
        <v>14.00329489291598</v>
      </c>
      <c r="AM58" s="8"/>
      <c r="AS58"/>
      <c r="AT58"/>
      <c r="AU58"/>
      <c r="AV58"/>
      <c r="AW58"/>
      <c r="AX58"/>
      <c r="AY58"/>
      <c r="AZ58"/>
      <c r="BA58"/>
      <c r="BB58"/>
      <c r="BC58"/>
      <c r="BD58"/>
    </row>
    <row r="59" spans="1:67" ht="16.5">
      <c r="A59" s="1">
        <v>55</v>
      </c>
      <c r="B59" s="102" t="str">
        <f t="shared" si="51"/>
        <v xml:space="preserve">55 - MS + JS ab 32 kg LG bis Mastende/Belegung - stark-N-reduzierte-Fütterung - Mist/Jauche </v>
      </c>
      <c r="C59" s="103" t="s">
        <v>229</v>
      </c>
      <c r="D59" s="104"/>
      <c r="E59" s="105"/>
      <c r="F59" s="105"/>
      <c r="G59" s="105">
        <v>2.1</v>
      </c>
      <c r="H59" s="106">
        <v>4.0999999999999996</v>
      </c>
      <c r="I59" s="107"/>
      <c r="J59" s="15">
        <v>0.23</v>
      </c>
      <c r="K59" s="108">
        <v>0.48</v>
      </c>
      <c r="L59" s="107">
        <v>0.3</v>
      </c>
      <c r="M59" s="108">
        <v>1.26</v>
      </c>
      <c r="N59" s="290"/>
      <c r="O59" s="291"/>
      <c r="P59" s="292"/>
      <c r="Q59" s="293">
        <f>IF(Tabelle1!$N$45="JA",Tabelle1!AD59,Tabelle1!Z59)</f>
        <v>0.22</v>
      </c>
      <c r="R59" s="294">
        <f>IF(Tabelle1!$N$45="JA",Tabelle1!AE59,Tabelle1!AA59)</f>
        <v>4.18</v>
      </c>
      <c r="S59" s="290"/>
      <c r="T59" s="291"/>
      <c r="U59" s="292"/>
      <c r="V59" s="293">
        <v>0.5</v>
      </c>
      <c r="W59" s="294">
        <v>4.5</v>
      </c>
      <c r="X59" s="107"/>
      <c r="Y59" s="15"/>
      <c r="Z59" s="15">
        <v>0.22</v>
      </c>
      <c r="AA59" s="15">
        <v>4.18</v>
      </c>
      <c r="AB59" s="15"/>
      <c r="AC59" s="15"/>
      <c r="AD59" s="15">
        <v>0.18</v>
      </c>
      <c r="AE59" s="108">
        <v>3.42</v>
      </c>
      <c r="AF59" s="107"/>
      <c r="AG59" s="15">
        <v>1.8</v>
      </c>
      <c r="AH59" s="108">
        <v>3.7</v>
      </c>
      <c r="AI59" s="113" t="s">
        <v>229</v>
      </c>
      <c r="AJ59" s="115">
        <v>12.14</v>
      </c>
      <c r="AK59" s="287">
        <v>12.14</v>
      </c>
      <c r="AL59" s="288">
        <f t="shared" si="53"/>
        <v>14.00329489291598</v>
      </c>
      <c r="AM59" s="8"/>
      <c r="AQ59" s="289" t="s">
        <v>230</v>
      </c>
      <c r="AR59" s="9"/>
      <c r="AS59"/>
      <c r="AT59"/>
      <c r="AU59"/>
      <c r="AV59"/>
      <c r="AW59"/>
      <c r="AX59"/>
      <c r="AY59"/>
      <c r="AZ59"/>
      <c r="BA59"/>
      <c r="BB59"/>
      <c r="BC59"/>
      <c r="BD59"/>
    </row>
    <row r="60" spans="1:67" ht="16.5">
      <c r="A60" s="1">
        <v>56</v>
      </c>
      <c r="B60" s="102" t="str">
        <f t="shared" si="51"/>
        <v xml:space="preserve">56 - MS + JS ab 32 kg LG bis Mastende/Belegung - stark-N-reduzierte-Fütterung - Tiefstallmist </v>
      </c>
      <c r="C60" s="103" t="s">
        <v>231</v>
      </c>
      <c r="D60" s="104"/>
      <c r="E60" s="105"/>
      <c r="F60" s="105"/>
      <c r="G60" s="105"/>
      <c r="H60" s="106">
        <v>6.2</v>
      </c>
      <c r="I60" s="107"/>
      <c r="J60" s="15"/>
      <c r="K60" s="108">
        <v>0.77</v>
      </c>
      <c r="L60" s="107">
        <v>0.3</v>
      </c>
      <c r="M60" s="108">
        <v>1.26</v>
      </c>
      <c r="N60" s="290"/>
      <c r="O60" s="291"/>
      <c r="P60" s="292"/>
      <c r="Q60" s="293"/>
      <c r="R60" s="294">
        <f>IF(Tabelle1!$N$45="JA",Tabelle1!AE60,Tabelle1!AA60)</f>
        <v>4.4000000000000004</v>
      </c>
      <c r="S60" s="290"/>
      <c r="T60" s="291"/>
      <c r="U60" s="292"/>
      <c r="V60" s="293"/>
      <c r="W60" s="294">
        <v>5</v>
      </c>
      <c r="X60" s="107"/>
      <c r="Y60" s="15"/>
      <c r="Z60" s="15"/>
      <c r="AA60" s="15">
        <v>4.4000000000000004</v>
      </c>
      <c r="AB60" s="15"/>
      <c r="AC60" s="15"/>
      <c r="AD60" s="15"/>
      <c r="AE60" s="108">
        <v>3.6</v>
      </c>
      <c r="AF60" s="107"/>
      <c r="AG60" s="15"/>
      <c r="AH60" s="108">
        <v>5.6</v>
      </c>
      <c r="AI60" s="113" t="s">
        <v>231</v>
      </c>
      <c r="AJ60" s="115">
        <v>12.14</v>
      </c>
      <c r="AK60" s="287">
        <v>12.14</v>
      </c>
      <c r="AL60" s="288">
        <f t="shared" si="53"/>
        <v>14.00329489291598</v>
      </c>
      <c r="AM60" s="8"/>
      <c r="AQ60" s="15" t="s">
        <v>198</v>
      </c>
      <c r="AR60" s="15" t="s">
        <v>199</v>
      </c>
      <c r="AS60" s="15" t="s">
        <v>200</v>
      </c>
      <c r="AT60" s="15" t="s">
        <v>22</v>
      </c>
      <c r="AU60" s="15" t="s">
        <v>23</v>
      </c>
      <c r="AV60" s="15" t="s">
        <v>201</v>
      </c>
      <c r="AW60" s="15" t="s">
        <v>167</v>
      </c>
      <c r="AX60"/>
      <c r="AY60"/>
      <c r="AZ60"/>
      <c r="BA60"/>
      <c r="BB60"/>
      <c r="BC60"/>
      <c r="BD60"/>
    </row>
    <row r="61" spans="1:67" ht="16.5">
      <c r="A61" s="1">
        <v>57</v>
      </c>
      <c r="B61" s="102" t="str">
        <f t="shared" si="51"/>
        <v>57 - Zuchtschweine - Standard-Fütterung - Gülle</v>
      </c>
      <c r="C61" s="103" t="s">
        <v>232</v>
      </c>
      <c r="D61" s="104"/>
      <c r="E61" s="105">
        <v>14.4</v>
      </c>
      <c r="F61" s="105"/>
      <c r="G61" s="105"/>
      <c r="H61" s="106"/>
      <c r="I61" s="107">
        <v>2.5499999999999998</v>
      </c>
      <c r="J61" s="15"/>
      <c r="K61" s="108"/>
      <c r="L61" s="107">
        <v>0.5</v>
      </c>
      <c r="M61" s="108">
        <v>1</v>
      </c>
      <c r="N61" s="290"/>
      <c r="O61" s="298">
        <f>IF(Tabelle1!$N$45="JA",Tabelle1!AB61,Tabelle1!X61)</f>
        <v>10.6</v>
      </c>
      <c r="P61" s="292"/>
      <c r="Q61" s="299"/>
      <c r="R61" s="300"/>
      <c r="S61" s="290"/>
      <c r="T61" s="298">
        <v>6.8</v>
      </c>
      <c r="U61" s="292"/>
      <c r="V61" s="299"/>
      <c r="W61" s="300"/>
      <c r="X61" s="107">
        <v>10.6</v>
      </c>
      <c r="Y61" s="15"/>
      <c r="Z61" s="15"/>
      <c r="AA61" s="15"/>
      <c r="AB61" s="15">
        <v>9</v>
      </c>
      <c r="AC61" s="15"/>
      <c r="AD61" s="15"/>
      <c r="AE61" s="108"/>
      <c r="AF61" s="107">
        <v>12.5</v>
      </c>
      <c r="AG61" s="15"/>
      <c r="AH61" s="108"/>
      <c r="AI61" s="113" t="s">
        <v>232</v>
      </c>
      <c r="AJ61" s="115">
        <v>26.15</v>
      </c>
      <c r="AK61" s="287">
        <v>34.549999999999997</v>
      </c>
      <c r="AL61" s="288">
        <f t="shared" si="53"/>
        <v>4.9204052098408111</v>
      </c>
      <c r="AM61" s="8"/>
      <c r="AP61" s="131" t="s">
        <v>233</v>
      </c>
      <c r="AQ61" s="315">
        <f t="shared" ref="AQ61:AW61" si="55">AQ54</f>
        <v>0</v>
      </c>
      <c r="AR61" s="315">
        <f t="shared" si="55"/>
        <v>0</v>
      </c>
      <c r="AS61" s="315">
        <f t="shared" si="55"/>
        <v>0</v>
      </c>
      <c r="AT61" s="315">
        <f t="shared" si="55"/>
        <v>0</v>
      </c>
      <c r="AU61" s="315">
        <f t="shared" si="55"/>
        <v>0</v>
      </c>
      <c r="AV61" s="315">
        <f t="shared" si="55"/>
        <v>0</v>
      </c>
      <c r="AW61" s="315">
        <f t="shared" si="55"/>
        <v>0</v>
      </c>
      <c r="AX61" s="317">
        <f>SUM(AQ61:AW61)</f>
        <v>0</v>
      </c>
      <c r="AY61"/>
      <c r="AZ61"/>
      <c r="BA61"/>
      <c r="BB61"/>
      <c r="BC61"/>
      <c r="BD61"/>
    </row>
    <row r="62" spans="1:67" ht="16.5">
      <c r="A62" s="1">
        <v>58</v>
      </c>
      <c r="B62" s="102" t="str">
        <f t="shared" si="51"/>
        <v>58 - Zuchtschweine - Standard-Fütterung - Mist/Jauche</v>
      </c>
      <c r="C62" s="103" t="s">
        <v>234</v>
      </c>
      <c r="D62" s="104"/>
      <c r="E62" s="105"/>
      <c r="F62" s="105"/>
      <c r="G62" s="105">
        <v>4.5</v>
      </c>
      <c r="H62" s="106">
        <v>8.9</v>
      </c>
      <c r="I62" s="107"/>
      <c r="J62" s="15">
        <v>0.84</v>
      </c>
      <c r="K62" s="108">
        <v>1.73</v>
      </c>
      <c r="L62" s="107">
        <v>0.5</v>
      </c>
      <c r="M62" s="108">
        <v>1</v>
      </c>
      <c r="N62" s="290"/>
      <c r="O62" s="291"/>
      <c r="P62" s="292"/>
      <c r="Q62" s="293">
        <f>IF(Tabelle1!$N$45="JA",Tabelle1!AD62,Tabelle1!Z62)</f>
        <v>0.53</v>
      </c>
      <c r="R62" s="294">
        <f>IF(Tabelle1!$N$45="JA",Tabelle1!AE62,Tabelle1!AA62)</f>
        <v>10.07</v>
      </c>
      <c r="S62" s="290"/>
      <c r="T62" s="291"/>
      <c r="U62" s="292"/>
      <c r="V62" s="293">
        <v>0.68</v>
      </c>
      <c r="W62" s="294">
        <v>6.12</v>
      </c>
      <c r="X62" s="107"/>
      <c r="Y62" s="15"/>
      <c r="Z62" s="15">
        <v>0.53</v>
      </c>
      <c r="AA62" s="15">
        <v>10.07</v>
      </c>
      <c r="AB62" s="15"/>
      <c r="AC62" s="15"/>
      <c r="AD62" s="15">
        <v>0.45</v>
      </c>
      <c r="AE62" s="108">
        <v>8.5500000000000007</v>
      </c>
      <c r="AF62" s="107"/>
      <c r="AG62" s="15">
        <v>3.9</v>
      </c>
      <c r="AH62" s="108">
        <v>8.1</v>
      </c>
      <c r="AI62" s="113" t="s">
        <v>234</v>
      </c>
      <c r="AJ62" s="115">
        <v>26.15</v>
      </c>
      <c r="AK62" s="287">
        <v>34.549999999999997</v>
      </c>
      <c r="AL62" s="288">
        <f t="shared" si="53"/>
        <v>4.9204052098408111</v>
      </c>
      <c r="AM62" s="8"/>
      <c r="AP62" s="318" t="s">
        <v>235</v>
      </c>
      <c r="AQ62" s="317">
        <f t="shared" ref="AQ62:AW62" si="56">AQ43</f>
        <v>0</v>
      </c>
      <c r="AR62" s="317">
        <f t="shared" si="56"/>
        <v>0</v>
      </c>
      <c r="AS62" s="317">
        <f t="shared" si="56"/>
        <v>0</v>
      </c>
      <c r="AT62" s="317">
        <f t="shared" si="56"/>
        <v>0</v>
      </c>
      <c r="AU62" s="317">
        <f t="shared" si="56"/>
        <v>0</v>
      </c>
      <c r="AV62" s="317">
        <f t="shared" si="56"/>
        <v>0</v>
      </c>
      <c r="AW62" s="317">
        <f t="shared" si="56"/>
        <v>0</v>
      </c>
      <c r="AX62" s="77">
        <f>SUM(AQ62:AW62)</f>
        <v>0</v>
      </c>
      <c r="AY62" s="319" t="s">
        <v>236</v>
      </c>
      <c r="AZ62" s="200"/>
      <c r="BA62"/>
      <c r="BB62"/>
      <c r="BC62"/>
      <c r="BD62"/>
    </row>
    <row r="63" spans="1:67" ht="16.5">
      <c r="A63" s="1">
        <v>59</v>
      </c>
      <c r="B63" s="102" t="str">
        <f t="shared" si="51"/>
        <v>59 - Zuchtschweine - Standard-Fütterung - Tiefstallmist</v>
      </c>
      <c r="C63" s="103" t="s">
        <v>237</v>
      </c>
      <c r="D63" s="104"/>
      <c r="E63" s="105"/>
      <c r="F63" s="105"/>
      <c r="G63" s="105"/>
      <c r="H63" s="106">
        <v>13.4</v>
      </c>
      <c r="I63" s="107"/>
      <c r="J63" s="15"/>
      <c r="K63" s="108">
        <v>2.72</v>
      </c>
      <c r="L63" s="107">
        <v>0.5</v>
      </c>
      <c r="M63" s="108">
        <v>1</v>
      </c>
      <c r="N63" s="290"/>
      <c r="O63" s="291"/>
      <c r="P63" s="292"/>
      <c r="Q63" s="293"/>
      <c r="R63" s="294">
        <f>IF(Tabelle1!$N$45="JA",Tabelle1!AE63,Tabelle1!AA63)</f>
        <v>10.6</v>
      </c>
      <c r="S63" s="290"/>
      <c r="T63" s="291"/>
      <c r="U63" s="292"/>
      <c r="V63" s="293"/>
      <c r="W63" s="294">
        <v>6.8</v>
      </c>
      <c r="X63" s="107"/>
      <c r="Y63" s="15"/>
      <c r="Z63" s="15"/>
      <c r="AA63" s="15">
        <v>10.6</v>
      </c>
      <c r="AB63" s="15"/>
      <c r="AC63" s="15"/>
      <c r="AD63" s="15"/>
      <c r="AE63" s="108">
        <v>9</v>
      </c>
      <c r="AF63" s="107"/>
      <c r="AG63" s="15"/>
      <c r="AH63" s="108">
        <v>12.2</v>
      </c>
      <c r="AI63" s="113" t="s">
        <v>237</v>
      </c>
      <c r="AJ63" s="115">
        <v>26.15</v>
      </c>
      <c r="AK63" s="287">
        <v>34.549999999999997</v>
      </c>
      <c r="AL63" s="288">
        <f t="shared" si="53"/>
        <v>4.9204052098408111</v>
      </c>
      <c r="AM63" s="8"/>
      <c r="AP63" s="131" t="s">
        <v>238</v>
      </c>
      <c r="AQ63" s="315">
        <f t="shared" ref="AQ63:AW63" si="57">SUM(AQ61:AQ62)</f>
        <v>0</v>
      </c>
      <c r="AR63" s="315">
        <f t="shared" si="57"/>
        <v>0</v>
      </c>
      <c r="AS63" s="315">
        <f t="shared" si="57"/>
        <v>0</v>
      </c>
      <c r="AT63" s="315">
        <f t="shared" si="57"/>
        <v>0</v>
      </c>
      <c r="AU63" s="315">
        <f t="shared" si="57"/>
        <v>0</v>
      </c>
      <c r="AV63" s="315">
        <f t="shared" si="57"/>
        <v>0</v>
      </c>
      <c r="AW63" s="315">
        <f t="shared" si="57"/>
        <v>0</v>
      </c>
      <c r="AX63" s="315">
        <f>SUM(AQ63:AW63)</f>
        <v>0</v>
      </c>
      <c r="AY63" s="131" t="s">
        <v>239</v>
      </c>
      <c r="AZ63"/>
      <c r="BA63"/>
      <c r="BB63"/>
      <c r="BC63"/>
      <c r="BD63"/>
    </row>
    <row r="64" spans="1:67" ht="16.5">
      <c r="A64" s="1">
        <v>60</v>
      </c>
      <c r="B64" s="102" t="str">
        <f t="shared" si="51"/>
        <v>60 - Zuchtschweine - N-reduzierte Fütterung - Gülle</v>
      </c>
      <c r="C64" s="103" t="s">
        <v>240</v>
      </c>
      <c r="D64" s="104"/>
      <c r="E64" s="105">
        <v>12.8</v>
      </c>
      <c r="F64" s="105"/>
      <c r="G64" s="105"/>
      <c r="H64" s="106"/>
      <c r="I64" s="107">
        <v>2.5499999999999998</v>
      </c>
      <c r="J64" s="15"/>
      <c r="K64" s="108"/>
      <c r="L64" s="107">
        <v>0.5</v>
      </c>
      <c r="M64" s="108">
        <v>1</v>
      </c>
      <c r="N64" s="290"/>
      <c r="O64" s="298">
        <f>IF(Tabelle1!$N$45="JA",Tabelle1!AB64,Tabelle1!X64)</f>
        <v>10.6</v>
      </c>
      <c r="P64" s="292"/>
      <c r="Q64" s="299"/>
      <c r="R64" s="300"/>
      <c r="S64" s="290"/>
      <c r="T64" s="298">
        <v>6.8</v>
      </c>
      <c r="U64" s="292"/>
      <c r="V64" s="299"/>
      <c r="W64" s="300"/>
      <c r="X64" s="107">
        <v>10.6</v>
      </c>
      <c r="Y64" s="15"/>
      <c r="Z64" s="15"/>
      <c r="AA64" s="15"/>
      <c r="AB64" s="15">
        <v>9</v>
      </c>
      <c r="AC64" s="15"/>
      <c r="AD64" s="15"/>
      <c r="AE64" s="108"/>
      <c r="AF64" s="107">
        <v>11.1</v>
      </c>
      <c r="AG64" s="15"/>
      <c r="AH64" s="108"/>
      <c r="AI64" s="113" t="s">
        <v>240</v>
      </c>
      <c r="AJ64" s="115">
        <v>26.15</v>
      </c>
      <c r="AK64" s="287">
        <v>34.549999999999997</v>
      </c>
      <c r="AL64" s="288">
        <f t="shared" si="53"/>
        <v>4.9204052098408111</v>
      </c>
      <c r="AM64" s="8"/>
      <c r="AP64" s="131" t="s">
        <v>241</v>
      </c>
      <c r="AQ64" s="320">
        <v>0.87</v>
      </c>
      <c r="AR64" s="320">
        <v>0.87</v>
      </c>
      <c r="AS64" s="320">
        <v>0.87</v>
      </c>
      <c r="AT64" s="320">
        <v>0.87</v>
      </c>
      <c r="AU64" s="320">
        <v>0.91</v>
      </c>
      <c r="AV64" s="320">
        <v>0.91</v>
      </c>
      <c r="AW64" s="320">
        <v>0.91</v>
      </c>
      <c r="AX64" s="131" t="s">
        <v>242</v>
      </c>
      <c r="AY64"/>
      <c r="AZ64"/>
      <c r="BA64"/>
      <c r="BB64"/>
      <c r="BC64"/>
      <c r="BD64"/>
    </row>
    <row r="65" spans="1:56" ht="17.25" thickBot="1">
      <c r="A65" s="1">
        <v>61</v>
      </c>
      <c r="B65" s="102" t="str">
        <f t="shared" si="51"/>
        <v>61 - Zuchtschweine - N-reduzierte Fütterung - Mist/Jauche</v>
      </c>
      <c r="C65" s="103" t="s">
        <v>243</v>
      </c>
      <c r="D65" s="104"/>
      <c r="E65" s="105"/>
      <c r="F65" s="105"/>
      <c r="G65" s="105">
        <v>4</v>
      </c>
      <c r="H65" s="106">
        <v>7.9</v>
      </c>
      <c r="I65" s="107"/>
      <c r="J65" s="15">
        <v>0.84</v>
      </c>
      <c r="K65" s="108">
        <v>1.73</v>
      </c>
      <c r="L65" s="107">
        <v>0.5</v>
      </c>
      <c r="M65" s="108">
        <v>1</v>
      </c>
      <c r="N65" s="290"/>
      <c r="O65" s="291"/>
      <c r="P65" s="292"/>
      <c r="Q65" s="293">
        <f>IF(Tabelle1!$N$45="JA",Tabelle1!AD65,Tabelle1!Z65)</f>
        <v>0.53</v>
      </c>
      <c r="R65" s="294">
        <f>IF(Tabelle1!$N$45="JA",Tabelle1!AE65,Tabelle1!AA65)</f>
        <v>10.07</v>
      </c>
      <c r="S65" s="290"/>
      <c r="T65" s="291"/>
      <c r="U65" s="292"/>
      <c r="V65" s="293">
        <v>0.68</v>
      </c>
      <c r="W65" s="294">
        <v>6.12</v>
      </c>
      <c r="X65" s="107"/>
      <c r="Y65" s="15"/>
      <c r="Z65" s="15">
        <v>0.53</v>
      </c>
      <c r="AA65" s="15">
        <v>10.07</v>
      </c>
      <c r="AB65" s="15"/>
      <c r="AC65" s="15"/>
      <c r="AD65" s="15">
        <v>0.45</v>
      </c>
      <c r="AE65" s="108">
        <v>8.5500000000000007</v>
      </c>
      <c r="AF65" s="107"/>
      <c r="AG65" s="15">
        <v>3.5</v>
      </c>
      <c r="AH65" s="108">
        <v>7.2</v>
      </c>
      <c r="AI65" s="113" t="s">
        <v>243</v>
      </c>
      <c r="AJ65" s="115">
        <v>26.15</v>
      </c>
      <c r="AK65" s="287">
        <v>34.549999999999997</v>
      </c>
      <c r="AL65" s="288">
        <f t="shared" si="53"/>
        <v>4.9204052098408111</v>
      </c>
      <c r="AM65" s="8"/>
      <c r="AP65" s="321" t="s">
        <v>244</v>
      </c>
      <c r="AQ65" s="322">
        <f t="shared" ref="AQ65:AW65" si="58">AQ62*AQ64</f>
        <v>0</v>
      </c>
      <c r="AR65" s="322">
        <f t="shared" si="58"/>
        <v>0</v>
      </c>
      <c r="AS65" s="322">
        <f t="shared" si="58"/>
        <v>0</v>
      </c>
      <c r="AT65" s="322">
        <f t="shared" si="58"/>
        <v>0</v>
      </c>
      <c r="AU65" s="322">
        <f t="shared" si="58"/>
        <v>0</v>
      </c>
      <c r="AV65" s="322">
        <f t="shared" si="58"/>
        <v>0</v>
      </c>
      <c r="AW65" s="322">
        <f t="shared" si="58"/>
        <v>0</v>
      </c>
      <c r="AX65" s="322">
        <f>SUM(AQ65:AW65)</f>
        <v>0</v>
      </c>
      <c r="AY65"/>
      <c r="AZ65"/>
      <c r="BA65"/>
      <c r="BB65"/>
      <c r="BC65"/>
      <c r="BD65"/>
    </row>
    <row r="66" spans="1:56" ht="17.25" thickBot="1">
      <c r="A66" s="1">
        <v>62</v>
      </c>
      <c r="B66" s="102" t="str">
        <f t="shared" si="51"/>
        <v>62 - Zuchtschweine - N-reduzierte Fütterung - Tiefstallmist</v>
      </c>
      <c r="C66" s="103" t="s">
        <v>245</v>
      </c>
      <c r="D66" s="104"/>
      <c r="E66" s="105"/>
      <c r="F66" s="105"/>
      <c r="G66" s="105"/>
      <c r="H66" s="106">
        <v>11.9</v>
      </c>
      <c r="I66" s="107"/>
      <c r="J66" s="15"/>
      <c r="K66" s="108">
        <v>2.72</v>
      </c>
      <c r="L66" s="107">
        <v>0.5</v>
      </c>
      <c r="M66" s="108">
        <v>1</v>
      </c>
      <c r="N66" s="290"/>
      <c r="O66" s="291"/>
      <c r="P66" s="292"/>
      <c r="Q66" s="293"/>
      <c r="R66" s="294">
        <f>IF(Tabelle1!$N$45="JA",Tabelle1!AE66,Tabelle1!AA66)</f>
        <v>10.6</v>
      </c>
      <c r="S66" s="290"/>
      <c r="T66" s="291"/>
      <c r="U66" s="292"/>
      <c r="V66" s="293"/>
      <c r="W66" s="294">
        <v>6.8</v>
      </c>
      <c r="X66" s="107"/>
      <c r="Y66" s="15"/>
      <c r="Z66" s="15"/>
      <c r="AA66" s="15">
        <v>10.6</v>
      </c>
      <c r="AB66" s="15"/>
      <c r="AC66" s="15"/>
      <c r="AD66" s="15"/>
      <c r="AE66" s="108">
        <v>9</v>
      </c>
      <c r="AF66" s="107"/>
      <c r="AG66" s="15"/>
      <c r="AH66" s="108">
        <v>10.8</v>
      </c>
      <c r="AI66" s="113" t="s">
        <v>245</v>
      </c>
      <c r="AJ66" s="115">
        <v>26.15</v>
      </c>
      <c r="AK66" s="287">
        <v>34.549999999999997</v>
      </c>
      <c r="AL66" s="288">
        <f t="shared" si="53"/>
        <v>4.9204052098408111</v>
      </c>
      <c r="AM66" s="8"/>
      <c r="AP66" s="131" t="s">
        <v>246</v>
      </c>
      <c r="AQ66" s="323">
        <f t="shared" ref="AQ66:AW66" si="59">AQ63*AQ64</f>
        <v>0</v>
      </c>
      <c r="AR66" s="323">
        <f t="shared" si="59"/>
        <v>0</v>
      </c>
      <c r="AS66" s="323">
        <f t="shared" si="59"/>
        <v>0</v>
      </c>
      <c r="AT66" s="323">
        <f t="shared" si="59"/>
        <v>0</v>
      </c>
      <c r="AU66" s="323">
        <f t="shared" si="59"/>
        <v>0</v>
      </c>
      <c r="AV66" s="323">
        <f t="shared" si="59"/>
        <v>0</v>
      </c>
      <c r="AW66" s="324">
        <f t="shared" si="59"/>
        <v>0</v>
      </c>
      <c r="AX66" s="325">
        <f>SUM(AQ66:AW66)</f>
        <v>0</v>
      </c>
      <c r="AY66" s="289" t="s">
        <v>219</v>
      </c>
      <c r="AZ66"/>
      <c r="BA66"/>
      <c r="BB66"/>
      <c r="BC66"/>
      <c r="BD66"/>
    </row>
    <row r="67" spans="1:56" ht="17.25" thickBot="1">
      <c r="A67" s="1">
        <v>63</v>
      </c>
      <c r="B67" s="102" t="str">
        <f t="shared" si="51"/>
        <v>63 - Zuchteber - Standard-Fütterung - Gülle</v>
      </c>
      <c r="C67" s="103" t="s">
        <v>247</v>
      </c>
      <c r="D67" s="104"/>
      <c r="E67" s="105">
        <v>17.7</v>
      </c>
      <c r="F67" s="105"/>
      <c r="G67" s="105"/>
      <c r="H67" s="106"/>
      <c r="I67" s="107">
        <v>2.5499999999999998</v>
      </c>
      <c r="J67" s="15"/>
      <c r="K67" s="108"/>
      <c r="L67" s="107">
        <v>0.30000000000000004</v>
      </c>
      <c r="M67" s="108">
        <v>1</v>
      </c>
      <c r="N67" s="290"/>
      <c r="O67" s="298">
        <f>IF(Tabelle1!$N$45="JA",Tabelle1!AB67,Tabelle1!X67)</f>
        <v>12.3</v>
      </c>
      <c r="P67" s="292"/>
      <c r="Q67" s="299"/>
      <c r="R67" s="300"/>
      <c r="S67" s="290"/>
      <c r="T67" s="298">
        <v>6.8</v>
      </c>
      <c r="U67" s="292"/>
      <c r="V67" s="299"/>
      <c r="W67" s="300"/>
      <c r="X67" s="107">
        <v>12.3</v>
      </c>
      <c r="Y67" s="15"/>
      <c r="Z67" s="15"/>
      <c r="AA67" s="15"/>
      <c r="AB67" s="15">
        <v>10.7</v>
      </c>
      <c r="AC67" s="15"/>
      <c r="AD67" s="15"/>
      <c r="AE67" s="108"/>
      <c r="AF67" s="107">
        <v>15.4</v>
      </c>
      <c r="AG67" s="15"/>
      <c r="AH67" s="108"/>
      <c r="AI67" s="113" t="s">
        <v>247</v>
      </c>
      <c r="AJ67" s="115">
        <v>26.15</v>
      </c>
      <c r="AK67" s="287">
        <v>34.549999999999997</v>
      </c>
      <c r="AL67" s="288">
        <f t="shared" si="53"/>
        <v>4.9204052098408111</v>
      </c>
      <c r="AM67" s="8"/>
      <c r="AQ67" s="15"/>
      <c r="AR67" s="15"/>
      <c r="AS67" s="15"/>
      <c r="AT67" s="15"/>
      <c r="AU67" s="15"/>
      <c r="AV67" s="15"/>
      <c r="AW67" s="15"/>
      <c r="AX67" s="326">
        <f>Mineral!G50</f>
        <v>0</v>
      </c>
      <c r="AY67" s="168" t="s">
        <v>248</v>
      </c>
      <c r="AZ67" s="171"/>
      <c r="BA67"/>
      <c r="BB67"/>
      <c r="BC67"/>
      <c r="BD67"/>
    </row>
    <row r="68" spans="1:56" ht="16.5">
      <c r="A68" s="1">
        <v>64</v>
      </c>
      <c r="B68" s="102" t="str">
        <f t="shared" si="51"/>
        <v>64 - Zuchteber - Standard-Fütterung - Mist/Jauche</v>
      </c>
      <c r="C68" s="103" t="s">
        <v>249</v>
      </c>
      <c r="D68" s="104"/>
      <c r="E68" s="105"/>
      <c r="F68" s="105"/>
      <c r="G68" s="105">
        <v>5.5</v>
      </c>
      <c r="H68" s="106">
        <v>11</v>
      </c>
      <c r="I68" s="107"/>
      <c r="J68" s="15">
        <v>0.84</v>
      </c>
      <c r="K68" s="108">
        <v>1.73</v>
      </c>
      <c r="L68" s="107">
        <v>0.30000000000000004</v>
      </c>
      <c r="M68" s="108">
        <v>1</v>
      </c>
      <c r="N68" s="290"/>
      <c r="O68" s="291"/>
      <c r="P68" s="292"/>
      <c r="Q68" s="293">
        <f>IF(Tabelle1!$N$45="JA",Tabelle1!AD68,Tabelle1!Z68)</f>
        <v>0.61499999999999999</v>
      </c>
      <c r="R68" s="294">
        <f>IF(Tabelle1!$N$45="JA",Tabelle1!AE68,Tabelle1!AA68)</f>
        <v>11.685</v>
      </c>
      <c r="S68" s="290"/>
      <c r="T68" s="291"/>
      <c r="U68" s="292"/>
      <c r="V68" s="293">
        <v>0.68</v>
      </c>
      <c r="W68" s="294">
        <v>6.12</v>
      </c>
      <c r="X68" s="107"/>
      <c r="Y68" s="15"/>
      <c r="Z68" s="15">
        <v>0.61499999999999999</v>
      </c>
      <c r="AA68" s="15">
        <v>11.685</v>
      </c>
      <c r="AB68" s="15"/>
      <c r="AC68" s="15"/>
      <c r="AD68" s="15">
        <v>0.53500000000000003</v>
      </c>
      <c r="AE68" s="108">
        <v>10.164999999999999</v>
      </c>
      <c r="AF68" s="107"/>
      <c r="AG68" s="15">
        <v>4.8</v>
      </c>
      <c r="AH68" s="108">
        <v>10</v>
      </c>
      <c r="AI68" s="113" t="s">
        <v>249</v>
      </c>
      <c r="AJ68" s="115">
        <v>26.15</v>
      </c>
      <c r="AK68" s="287">
        <v>34.549999999999997</v>
      </c>
      <c r="AL68" s="288">
        <f t="shared" si="53"/>
        <v>4.9204052098408111</v>
      </c>
      <c r="AM68" s="8"/>
      <c r="AQ68" s="289" t="s">
        <v>250</v>
      </c>
      <c r="AR68" s="9"/>
      <c r="AS68"/>
      <c r="AT68"/>
      <c r="AU68"/>
      <c r="AV68"/>
      <c r="AW68"/>
      <c r="AX68" s="310">
        <f>BN49</f>
        <v>0</v>
      </c>
      <c r="AY68" s="9" t="s">
        <v>222</v>
      </c>
      <c r="AZ68"/>
      <c r="BA68"/>
      <c r="BB68"/>
      <c r="BC68"/>
      <c r="BD68"/>
    </row>
    <row r="69" spans="1:56" ht="16.5">
      <c r="A69" s="1">
        <v>65</v>
      </c>
      <c r="B69" s="102" t="str">
        <f t="shared" si="51"/>
        <v>65 - Zuchteber - Standard-Fütterung - Tiefstallmist</v>
      </c>
      <c r="C69" s="103" t="s">
        <v>251</v>
      </c>
      <c r="D69" s="104"/>
      <c r="E69" s="105"/>
      <c r="F69" s="105"/>
      <c r="G69" s="105"/>
      <c r="H69" s="106">
        <v>16.399999999999999</v>
      </c>
      <c r="I69" s="107"/>
      <c r="J69" s="15"/>
      <c r="K69" s="108">
        <v>2.72</v>
      </c>
      <c r="L69" s="107">
        <v>0.30000000000000004</v>
      </c>
      <c r="M69" s="108">
        <v>1</v>
      </c>
      <c r="N69" s="290"/>
      <c r="O69" s="291"/>
      <c r="P69" s="292"/>
      <c r="Q69" s="293"/>
      <c r="R69" s="294">
        <f>IF(Tabelle1!$N$45="JA",Tabelle1!AE69,Tabelle1!AA69)</f>
        <v>12.3</v>
      </c>
      <c r="S69" s="290"/>
      <c r="T69" s="291"/>
      <c r="U69" s="292"/>
      <c r="V69" s="293"/>
      <c r="W69" s="294">
        <v>6.8</v>
      </c>
      <c r="X69" s="107"/>
      <c r="Y69" s="15"/>
      <c r="Z69" s="15"/>
      <c r="AA69" s="15">
        <v>12.3</v>
      </c>
      <c r="AB69" s="15"/>
      <c r="AC69" s="15"/>
      <c r="AD69" s="15"/>
      <c r="AE69" s="108">
        <v>10.7</v>
      </c>
      <c r="AF69" s="107"/>
      <c r="AG69" s="15"/>
      <c r="AH69" s="108">
        <v>14.9</v>
      </c>
      <c r="AI69" s="113" t="s">
        <v>251</v>
      </c>
      <c r="AJ69" s="115">
        <v>26.15</v>
      </c>
      <c r="AK69" s="287">
        <v>34.549999999999997</v>
      </c>
      <c r="AL69" s="288">
        <f t="shared" si="53"/>
        <v>4.9204052098408111</v>
      </c>
      <c r="AM69" s="8"/>
      <c r="AQ69" s="311" t="s">
        <v>252</v>
      </c>
      <c r="AR69" s="312"/>
      <c r="AS69" s="313"/>
      <c r="AT69" s="313"/>
      <c r="AU69" s="313"/>
      <c r="AV69" s="313"/>
      <c r="AW69" s="313"/>
      <c r="AX69" s="327">
        <f>AX66+AX67-AX68</f>
        <v>0</v>
      </c>
      <c r="AY69" s="237" t="s">
        <v>253</v>
      </c>
      <c r="AZ69" s="313"/>
      <c r="BA69" s="200"/>
      <c r="BB69" s="255"/>
      <c r="BC69"/>
      <c r="BD69"/>
    </row>
    <row r="70" spans="1:56" ht="16.5">
      <c r="A70" s="1">
        <v>66</v>
      </c>
      <c r="B70" s="102" t="str">
        <f t="shared" si="51"/>
        <v>66 - Zuchteber - N-reduzierte Fütterung - Gülle</v>
      </c>
      <c r="C70" s="103" t="s">
        <v>254</v>
      </c>
      <c r="D70" s="104"/>
      <c r="E70" s="105">
        <v>16.7</v>
      </c>
      <c r="F70" s="105"/>
      <c r="G70" s="105"/>
      <c r="H70" s="106"/>
      <c r="I70" s="107">
        <v>2.5499999999999998</v>
      </c>
      <c r="J70" s="15"/>
      <c r="K70" s="108"/>
      <c r="L70" s="107">
        <v>0.30000000000000004</v>
      </c>
      <c r="M70" s="108">
        <v>1</v>
      </c>
      <c r="N70" s="290"/>
      <c r="O70" s="298">
        <f>IF(Tabelle1!$N$45="JA",Tabelle1!AB70,Tabelle1!X70)</f>
        <v>12.3</v>
      </c>
      <c r="P70" s="292"/>
      <c r="Q70" s="299"/>
      <c r="R70" s="300"/>
      <c r="S70" s="290"/>
      <c r="T70" s="298">
        <v>6.8</v>
      </c>
      <c r="U70" s="292"/>
      <c r="V70" s="299"/>
      <c r="W70" s="300"/>
      <c r="X70" s="107">
        <v>12.3</v>
      </c>
      <c r="Y70" s="15"/>
      <c r="Z70" s="15"/>
      <c r="AA70" s="15"/>
      <c r="AB70" s="15">
        <v>10.7</v>
      </c>
      <c r="AC70" s="15"/>
      <c r="AD70" s="15"/>
      <c r="AE70" s="108"/>
      <c r="AF70" s="107">
        <v>14.5</v>
      </c>
      <c r="AG70" s="15"/>
      <c r="AH70" s="108"/>
      <c r="AI70" s="113" t="s">
        <v>254</v>
      </c>
      <c r="AJ70" s="115">
        <v>26.15</v>
      </c>
      <c r="AK70" s="287">
        <v>34.549999999999997</v>
      </c>
      <c r="AL70" s="288">
        <f t="shared" si="53"/>
        <v>4.9204052098408111</v>
      </c>
      <c r="AM70" s="8"/>
      <c r="AR70" s="188"/>
      <c r="AS70"/>
      <c r="AT70"/>
      <c r="AU70"/>
      <c r="AV70"/>
      <c r="AW70"/>
      <c r="AX70"/>
      <c r="AY70"/>
      <c r="AZ70"/>
      <c r="BA70"/>
      <c r="BB70"/>
      <c r="BC70"/>
      <c r="BD70"/>
    </row>
    <row r="71" spans="1:56" ht="16.5">
      <c r="A71" s="1">
        <v>67</v>
      </c>
      <c r="B71" s="102" t="str">
        <f t="shared" si="51"/>
        <v>67 - Zuchteber - N-reduzierte Fütterung - Mist/Jauche</v>
      </c>
      <c r="C71" s="103" t="s">
        <v>255</v>
      </c>
      <c r="D71" s="104"/>
      <c r="E71" s="105"/>
      <c r="F71" s="105"/>
      <c r="G71" s="105">
        <v>5.2</v>
      </c>
      <c r="H71" s="106">
        <v>10.4</v>
      </c>
      <c r="I71" s="107"/>
      <c r="J71" s="15">
        <v>0.84</v>
      </c>
      <c r="K71" s="108">
        <v>1.73</v>
      </c>
      <c r="L71" s="107">
        <v>0.30000000000000004</v>
      </c>
      <c r="M71" s="108">
        <v>1</v>
      </c>
      <c r="N71" s="290"/>
      <c r="O71" s="291"/>
      <c r="P71" s="292"/>
      <c r="Q71" s="293">
        <f>IF(Tabelle1!$N$45="JA",Tabelle1!AD71,Tabelle1!Z71)</f>
        <v>0.61499999999999999</v>
      </c>
      <c r="R71" s="294">
        <f>IF(Tabelle1!$N$45="JA",Tabelle1!AE71,Tabelle1!AA71)</f>
        <v>11.685</v>
      </c>
      <c r="S71" s="290"/>
      <c r="T71" s="291"/>
      <c r="U71" s="292"/>
      <c r="V71" s="293">
        <v>0.68</v>
      </c>
      <c r="W71" s="294">
        <v>6.12</v>
      </c>
      <c r="X71" s="107"/>
      <c r="Y71" s="15"/>
      <c r="Z71" s="15">
        <v>0.61499999999999999</v>
      </c>
      <c r="AA71" s="15">
        <v>11.685</v>
      </c>
      <c r="AB71" s="15"/>
      <c r="AC71" s="15"/>
      <c r="AD71" s="15">
        <v>0.53500000000000003</v>
      </c>
      <c r="AE71" s="108">
        <v>10.164999999999999</v>
      </c>
      <c r="AF71" s="107"/>
      <c r="AG71" s="15">
        <v>4.5</v>
      </c>
      <c r="AH71" s="108">
        <v>9.5</v>
      </c>
      <c r="AI71" s="113" t="s">
        <v>255</v>
      </c>
      <c r="AJ71" s="115">
        <v>26.15</v>
      </c>
      <c r="AK71" s="287">
        <v>34.549999999999997</v>
      </c>
      <c r="AL71" s="288">
        <f t="shared" si="53"/>
        <v>4.9204052098408111</v>
      </c>
      <c r="AM71" s="8"/>
      <c r="AQ71" s="289" t="s">
        <v>256</v>
      </c>
      <c r="AR71" s="9"/>
      <c r="AS71"/>
      <c r="AT71"/>
      <c r="AU71"/>
      <c r="AV71"/>
      <c r="AW71"/>
      <c r="AX71"/>
      <c r="AY71"/>
      <c r="AZ71"/>
      <c r="BA71"/>
      <c r="BB71"/>
      <c r="BC71"/>
      <c r="BD71"/>
    </row>
    <row r="72" spans="1:56" ht="17.25" thickBot="1">
      <c r="A72" s="1">
        <v>68</v>
      </c>
      <c r="B72" s="102" t="str">
        <f t="shared" si="51"/>
        <v>68 - Zuchteber - N-reduzierte Fütterung - Tiefstallmist</v>
      </c>
      <c r="C72" s="103" t="s">
        <v>257</v>
      </c>
      <c r="D72" s="104"/>
      <c r="E72" s="105"/>
      <c r="F72" s="105"/>
      <c r="G72" s="105"/>
      <c r="H72" s="106">
        <v>15.5</v>
      </c>
      <c r="I72" s="107"/>
      <c r="J72" s="15"/>
      <c r="K72" s="108">
        <v>2.72</v>
      </c>
      <c r="L72" s="107">
        <v>0.30000000000000004</v>
      </c>
      <c r="M72" s="108">
        <v>1</v>
      </c>
      <c r="N72" s="328"/>
      <c r="O72" s="329"/>
      <c r="P72" s="330"/>
      <c r="Q72" s="331"/>
      <c r="R72" s="332">
        <f>IF(Tabelle1!$N$45="JA",Tabelle1!AE72,Tabelle1!AA72)</f>
        <v>12.3</v>
      </c>
      <c r="S72" s="328"/>
      <c r="T72" s="329"/>
      <c r="U72" s="330"/>
      <c r="V72" s="331"/>
      <c r="W72" s="332">
        <v>6.8</v>
      </c>
      <c r="X72" s="107"/>
      <c r="Y72" s="15"/>
      <c r="Z72" s="15"/>
      <c r="AA72" s="15">
        <v>12.3</v>
      </c>
      <c r="AB72" s="15"/>
      <c r="AC72" s="15"/>
      <c r="AD72" s="15"/>
      <c r="AE72" s="108">
        <v>10.7</v>
      </c>
      <c r="AF72" s="107"/>
      <c r="AG72" s="15"/>
      <c r="AH72" s="108">
        <v>14.1</v>
      </c>
      <c r="AI72" s="113" t="s">
        <v>257</v>
      </c>
      <c r="AJ72" s="115">
        <v>26.15</v>
      </c>
      <c r="AK72" s="287">
        <v>34.549999999999997</v>
      </c>
      <c r="AL72" s="288">
        <f t="shared" si="53"/>
        <v>4.9204052098408111</v>
      </c>
      <c r="AM72" s="8"/>
      <c r="AQ72" s="15" t="s">
        <v>198</v>
      </c>
      <c r="AR72" s="15" t="s">
        <v>199</v>
      </c>
      <c r="AS72" s="15" t="s">
        <v>200</v>
      </c>
      <c r="AT72" s="15" t="s">
        <v>22</v>
      </c>
      <c r="AU72" s="15" t="s">
        <v>23</v>
      </c>
      <c r="AV72" s="15" t="s">
        <v>201</v>
      </c>
      <c r="AW72" s="15" t="s">
        <v>167</v>
      </c>
      <c r="AX72"/>
      <c r="AY72"/>
      <c r="AZ72"/>
      <c r="BA72"/>
      <c r="BB72"/>
      <c r="BC72"/>
      <c r="BD72"/>
    </row>
    <row r="73" spans="1:56" ht="15" thickBot="1">
      <c r="A73" s="1" t="s">
        <v>1783</v>
      </c>
      <c r="B73" s="279" t="s">
        <v>258</v>
      </c>
      <c r="C73" s="48" t="s">
        <v>258</v>
      </c>
      <c r="D73" s="49"/>
      <c r="E73" s="50"/>
      <c r="F73" s="50"/>
      <c r="G73" s="50"/>
      <c r="H73" s="73"/>
      <c r="I73" s="51"/>
      <c r="J73" s="52"/>
      <c r="K73" s="53"/>
      <c r="L73" s="51"/>
      <c r="M73" s="53">
        <v>1</v>
      </c>
      <c r="N73" s="51"/>
      <c r="O73" s="52"/>
      <c r="P73" s="52"/>
      <c r="Q73" s="52"/>
      <c r="R73" s="53"/>
      <c r="S73" s="51"/>
      <c r="T73" s="52"/>
      <c r="U73" s="52"/>
      <c r="V73" s="52"/>
      <c r="W73" s="53"/>
      <c r="X73" s="51"/>
      <c r="Y73" s="52"/>
      <c r="Z73" s="52"/>
      <c r="AA73" s="52"/>
      <c r="AB73" s="52"/>
      <c r="AC73" s="52"/>
      <c r="AD73" s="52"/>
      <c r="AE73" s="53"/>
      <c r="AF73" s="51"/>
      <c r="AG73" s="52"/>
      <c r="AH73" s="53"/>
      <c r="AI73" s="280" t="s">
        <v>258</v>
      </c>
      <c r="AJ73" s="281"/>
      <c r="AK73" s="333"/>
      <c r="AL73" s="288"/>
      <c r="AM73" s="8"/>
      <c r="AP73" s="131"/>
      <c r="AQ73" s="323">
        <f t="shared" ref="AQ73:AW73" si="60">AQ66</f>
        <v>0</v>
      </c>
      <c r="AR73" s="323">
        <f t="shared" si="60"/>
        <v>0</v>
      </c>
      <c r="AS73" s="323">
        <f t="shared" si="60"/>
        <v>0</v>
      </c>
      <c r="AT73" s="323">
        <f t="shared" si="60"/>
        <v>0</v>
      </c>
      <c r="AU73" s="323">
        <f t="shared" si="60"/>
        <v>0</v>
      </c>
      <c r="AV73" s="323">
        <f t="shared" si="60"/>
        <v>0</v>
      </c>
      <c r="AW73" s="323">
        <f t="shared" si="60"/>
        <v>0</v>
      </c>
      <c r="AX73"/>
      <c r="AY73"/>
      <c r="AZ73"/>
      <c r="BA73"/>
      <c r="BB73"/>
      <c r="BC73"/>
      <c r="BD73"/>
    </row>
    <row r="74" spans="1:56" ht="15" thickBot="1">
      <c r="A74" s="1957">
        <v>69</v>
      </c>
      <c r="B74" s="1958" t="str">
        <f t="shared" ref="B74:B83" si="61">A74&amp;" - "&amp;C74</f>
        <v>69 - Junghennenaufzucht (bis 6 Wochen)</v>
      </c>
      <c r="C74" s="1959" t="s">
        <v>1863</v>
      </c>
      <c r="D74" s="1814"/>
      <c r="E74" s="1815"/>
      <c r="F74" s="1815"/>
      <c r="G74" s="1815"/>
      <c r="H74" s="1816">
        <v>5.2999999999999999E-2</v>
      </c>
      <c r="I74" s="1817"/>
      <c r="J74" s="1818"/>
      <c r="K74" s="1819">
        <v>4.0000000000000001E-3</v>
      </c>
      <c r="L74" s="1817">
        <v>1.5E-3</v>
      </c>
      <c r="M74" s="1819">
        <v>1.7</v>
      </c>
      <c r="N74" s="1817"/>
      <c r="O74" s="1818"/>
      <c r="P74" s="1818"/>
      <c r="Q74" s="1818"/>
      <c r="R74" s="1819">
        <v>3.4000000000000002E-2</v>
      </c>
      <c r="S74" s="1817"/>
      <c r="T74" s="1818"/>
      <c r="U74" s="1818"/>
      <c r="V74" s="1818"/>
      <c r="W74" s="1819">
        <v>0.06</v>
      </c>
      <c r="X74" s="118"/>
      <c r="Y74" s="119"/>
      <c r="Z74" s="119"/>
      <c r="AA74" s="120"/>
      <c r="AB74" s="119"/>
      <c r="AC74" s="119"/>
      <c r="AD74" s="119"/>
      <c r="AE74" s="120"/>
      <c r="AF74" s="1820"/>
      <c r="AG74" s="1821"/>
      <c r="AH74" s="1823">
        <v>4.8000000000000001E-2</v>
      </c>
      <c r="AI74" s="1812" t="s">
        <v>1863</v>
      </c>
      <c r="AJ74" s="1813"/>
      <c r="AK74" s="287">
        <v>0.28999999999999998</v>
      </c>
      <c r="AL74" s="288">
        <f>170/AK74</f>
        <v>586.20689655172418</v>
      </c>
      <c r="AM74" s="8"/>
      <c r="AP74" s="131" t="s">
        <v>260</v>
      </c>
      <c r="AQ74" s="334">
        <v>0.7</v>
      </c>
      <c r="AR74" s="334">
        <v>0.8</v>
      </c>
      <c r="AS74" s="335">
        <v>0.85</v>
      </c>
      <c r="AT74" s="335">
        <v>1</v>
      </c>
      <c r="AU74" s="335">
        <v>0.5</v>
      </c>
      <c r="AV74" s="335">
        <v>0.30000000000000004</v>
      </c>
      <c r="AW74" s="335">
        <v>0.1</v>
      </c>
      <c r="AX74"/>
      <c r="AY74"/>
      <c r="AZ74"/>
      <c r="BA74"/>
      <c r="BB74"/>
      <c r="BC74"/>
      <c r="BD74"/>
    </row>
    <row r="75" spans="1:56" ht="15.75" thickBot="1">
      <c r="A75" s="1">
        <v>70</v>
      </c>
      <c r="B75" s="102" t="str">
        <f t="shared" si="61"/>
        <v xml:space="preserve">70 - Kücken u. Junghennen für Legezw. bis 1/2 Jahr - Gülle </v>
      </c>
      <c r="C75" s="103" t="s">
        <v>259</v>
      </c>
      <c r="D75" s="104"/>
      <c r="E75" s="105"/>
      <c r="F75" s="105">
        <v>0.13</v>
      </c>
      <c r="G75" s="105"/>
      <c r="H75" s="106"/>
      <c r="I75" s="107">
        <v>1.2E-2</v>
      </c>
      <c r="J75" s="15"/>
      <c r="K75" s="108"/>
      <c r="L75" s="107">
        <v>1.5E-3</v>
      </c>
      <c r="M75" s="108">
        <v>1.4</v>
      </c>
      <c r="N75" s="107"/>
      <c r="O75" s="15"/>
      <c r="P75" s="15">
        <v>0.17</v>
      </c>
      <c r="Q75" s="15"/>
      <c r="R75" s="108"/>
      <c r="S75" s="107"/>
      <c r="T75" s="15"/>
      <c r="U75" s="15">
        <v>0.13</v>
      </c>
      <c r="V75" s="15"/>
      <c r="W75" s="108"/>
      <c r="X75" s="118"/>
      <c r="Y75" s="119"/>
      <c r="Z75" s="119"/>
      <c r="AA75" s="120"/>
      <c r="AB75" s="119"/>
      <c r="AC75" s="119"/>
      <c r="AD75" s="119"/>
      <c r="AE75" s="120"/>
      <c r="AF75" s="1820">
        <v>0.11</v>
      </c>
      <c r="AG75" s="1821"/>
      <c r="AH75" s="1822"/>
      <c r="AI75" s="1812" t="s">
        <v>259</v>
      </c>
      <c r="AJ75" s="1813"/>
      <c r="AK75" s="287">
        <v>0.34</v>
      </c>
      <c r="AL75" s="288">
        <f t="shared" ref="AL75:AL79" si="62">170/AK75</f>
        <v>499.99999999999994</v>
      </c>
      <c r="AM75" s="8"/>
      <c r="AP75" s="131" t="s">
        <v>262</v>
      </c>
      <c r="AQ75" s="1956">
        <f t="shared" ref="AQ75:AW75" si="63">AQ73*AQ74</f>
        <v>0</v>
      </c>
      <c r="AR75" s="1956">
        <f t="shared" si="63"/>
        <v>0</v>
      </c>
      <c r="AS75" s="1956">
        <f t="shared" si="63"/>
        <v>0</v>
      </c>
      <c r="AT75" s="1956">
        <f t="shared" si="63"/>
        <v>0</v>
      </c>
      <c r="AU75" s="1956">
        <f t="shared" si="63"/>
        <v>0</v>
      </c>
      <c r="AV75" s="1956">
        <f t="shared" si="63"/>
        <v>0</v>
      </c>
      <c r="AW75" s="1956">
        <f t="shared" si="63"/>
        <v>0</v>
      </c>
      <c r="AX75" s="325">
        <f>SUM(AQ75:AW75)</f>
        <v>0</v>
      </c>
      <c r="AY75" s="289" t="s">
        <v>219</v>
      </c>
      <c r="AZ75"/>
      <c r="BA75"/>
      <c r="BB75"/>
      <c r="BC75"/>
      <c r="BD75"/>
    </row>
    <row r="76" spans="1:56">
      <c r="A76" s="1">
        <v>71</v>
      </c>
      <c r="B76" s="102" t="str">
        <f t="shared" si="61"/>
        <v xml:space="preserve">71 - Kücken u. Junghennen für Legezw. bis 1/2 Jahr - Tiefstallmist  </v>
      </c>
      <c r="C76" s="103" t="s">
        <v>261</v>
      </c>
      <c r="D76" s="104"/>
      <c r="E76" s="105"/>
      <c r="F76" s="105"/>
      <c r="G76" s="105"/>
      <c r="H76" s="106">
        <v>0.11</v>
      </c>
      <c r="I76" s="107"/>
      <c r="J76" s="15"/>
      <c r="K76" s="108">
        <v>9.0000000000000011E-3</v>
      </c>
      <c r="L76" s="107">
        <v>1.5E-3</v>
      </c>
      <c r="M76" s="108">
        <v>1.4</v>
      </c>
      <c r="N76" s="107"/>
      <c r="O76" s="15"/>
      <c r="P76" s="15"/>
      <c r="Q76" s="15"/>
      <c r="R76" s="108">
        <v>0.17</v>
      </c>
      <c r="S76" s="107"/>
      <c r="T76" s="15"/>
      <c r="U76" s="15"/>
      <c r="V76" s="15"/>
      <c r="W76" s="108">
        <v>0.13</v>
      </c>
      <c r="X76" s="118"/>
      <c r="Y76" s="119"/>
      <c r="Z76" s="119"/>
      <c r="AA76" s="120"/>
      <c r="AB76" s="119"/>
      <c r="AC76" s="119"/>
      <c r="AD76" s="119"/>
      <c r="AE76" s="120"/>
      <c r="AF76" s="1820"/>
      <c r="AG76" s="1821"/>
      <c r="AH76" s="1822">
        <v>0.1</v>
      </c>
      <c r="AI76" s="1812" t="s">
        <v>261</v>
      </c>
      <c r="AJ76" s="1813"/>
      <c r="AK76" s="287">
        <v>0.34</v>
      </c>
      <c r="AL76" s="288">
        <f t="shared" si="62"/>
        <v>499.99999999999994</v>
      </c>
      <c r="AM76" s="8"/>
      <c r="AS76"/>
      <c r="AT76"/>
      <c r="AU76"/>
      <c r="AV76"/>
      <c r="AW76" s="188" t="s">
        <v>264</v>
      </c>
      <c r="AX76" s="317">
        <f>AX67</f>
        <v>0</v>
      </c>
      <c r="AY76"/>
      <c r="AZ76"/>
      <c r="BA76"/>
      <c r="BB76"/>
      <c r="BC76"/>
      <c r="BD76"/>
    </row>
    <row r="77" spans="1:56" ht="15">
      <c r="A77" s="1">
        <v>72</v>
      </c>
      <c r="B77" s="102" t="str">
        <f t="shared" si="61"/>
        <v>72 - Legehennen, Hähne - Gülle</v>
      </c>
      <c r="C77" s="103" t="s">
        <v>263</v>
      </c>
      <c r="D77" s="104"/>
      <c r="E77" s="105"/>
      <c r="F77" s="105">
        <v>0.51</v>
      </c>
      <c r="G77" s="105"/>
      <c r="H77" s="106"/>
      <c r="I77" s="107">
        <v>3.3000000000000002E-2</v>
      </c>
      <c r="J77" s="15"/>
      <c r="K77" s="108"/>
      <c r="L77" s="107">
        <v>4.0000000000000001E-3</v>
      </c>
      <c r="M77" s="108">
        <v>1</v>
      </c>
      <c r="N77" s="107"/>
      <c r="O77" s="15"/>
      <c r="P77" s="15">
        <v>0.45</v>
      </c>
      <c r="Q77" s="15"/>
      <c r="R77" s="108"/>
      <c r="S77" s="107"/>
      <c r="T77" s="15"/>
      <c r="U77" s="15">
        <v>0.33</v>
      </c>
      <c r="V77" s="15"/>
      <c r="W77" s="108"/>
      <c r="X77" s="118"/>
      <c r="Y77" s="119"/>
      <c r="Z77" s="119"/>
      <c r="AA77" s="120"/>
      <c r="AB77" s="119"/>
      <c r="AC77" s="119"/>
      <c r="AD77" s="119"/>
      <c r="AE77" s="120"/>
      <c r="AF77" s="1824">
        <v>0.44</v>
      </c>
      <c r="AG77" s="1821"/>
      <c r="AH77" s="1822"/>
      <c r="AI77" s="1812" t="s">
        <v>263</v>
      </c>
      <c r="AJ77" s="1813">
        <v>0.74</v>
      </c>
      <c r="AK77" s="287">
        <v>0.74</v>
      </c>
      <c r="AL77" s="288">
        <f t="shared" si="62"/>
        <v>229.72972972972974</v>
      </c>
      <c r="AM77" s="8"/>
      <c r="AQ77" s="289" t="s">
        <v>266</v>
      </c>
      <c r="AS77"/>
      <c r="AT77"/>
      <c r="AU77"/>
      <c r="AV77"/>
      <c r="AW77"/>
      <c r="AX77" s="336">
        <f>BO49</f>
        <v>0</v>
      </c>
      <c r="AY77" s="131" t="s">
        <v>267</v>
      </c>
      <c r="AZ77"/>
      <c r="BA77"/>
      <c r="BB77"/>
      <c r="BC77"/>
      <c r="BD77" s="200"/>
    </row>
    <row r="78" spans="1:56" ht="15">
      <c r="A78" s="1">
        <v>73</v>
      </c>
      <c r="B78" s="102" t="str">
        <f t="shared" si="61"/>
        <v>73 - Legehennen, Hähne - Tiefstallmist</v>
      </c>
      <c r="C78" s="103" t="s">
        <v>265</v>
      </c>
      <c r="D78" s="104"/>
      <c r="E78" s="105"/>
      <c r="F78" s="105"/>
      <c r="G78" s="105"/>
      <c r="H78" s="106">
        <v>0.43</v>
      </c>
      <c r="I78" s="107"/>
      <c r="J78" s="15"/>
      <c r="K78" s="108">
        <v>1.6E-2</v>
      </c>
      <c r="L78" s="107">
        <v>4.0000000000000001E-3</v>
      </c>
      <c r="M78" s="108">
        <v>1</v>
      </c>
      <c r="N78" s="107"/>
      <c r="O78" s="15"/>
      <c r="P78" s="15"/>
      <c r="Q78" s="15"/>
      <c r="R78" s="108">
        <v>0.45</v>
      </c>
      <c r="S78" s="107"/>
      <c r="T78" s="15"/>
      <c r="U78" s="15"/>
      <c r="V78" s="15"/>
      <c r="W78" s="108">
        <v>0.33</v>
      </c>
      <c r="X78" s="118"/>
      <c r="Y78" s="119"/>
      <c r="Z78" s="119"/>
      <c r="AA78" s="120"/>
      <c r="AB78" s="119"/>
      <c r="AC78" s="119"/>
      <c r="AD78" s="119"/>
      <c r="AE78" s="120"/>
      <c r="AF78" s="1820"/>
      <c r="AG78" s="1821"/>
      <c r="AH78" s="1825">
        <v>0.39</v>
      </c>
      <c r="AI78" s="1812" t="s">
        <v>265</v>
      </c>
      <c r="AJ78" s="1813">
        <v>0.74</v>
      </c>
      <c r="AK78" s="287">
        <v>0.74</v>
      </c>
      <c r="AL78" s="288">
        <f t="shared" si="62"/>
        <v>229.72972972972974</v>
      </c>
      <c r="AM78" s="8"/>
      <c r="AQ78" s="311" t="s">
        <v>269</v>
      </c>
      <c r="AR78" s="312"/>
      <c r="AS78" s="313"/>
      <c r="AT78" s="313"/>
      <c r="AU78" s="313"/>
      <c r="AV78" s="313"/>
      <c r="AW78" s="313"/>
      <c r="AX78" s="327">
        <f>AX75+AX76-AX77</f>
        <v>0</v>
      </c>
      <c r="AY78" s="237" t="s">
        <v>270</v>
      </c>
      <c r="AZ78" s="313"/>
      <c r="BA78" s="313"/>
      <c r="BB78" s="313"/>
      <c r="BC78" s="313"/>
      <c r="BD78" s="200"/>
    </row>
    <row r="79" spans="1:56" ht="14.25">
      <c r="A79" s="1">
        <v>74</v>
      </c>
      <c r="B79" s="102" t="str">
        <f t="shared" si="61"/>
        <v xml:space="preserve">74 - Mastkücken und Jungmasthühner - 7 Umtriebe </v>
      </c>
      <c r="C79" s="103" t="s">
        <v>268</v>
      </c>
      <c r="D79" s="104"/>
      <c r="E79" s="105"/>
      <c r="F79" s="105"/>
      <c r="G79" s="105"/>
      <c r="H79" s="106">
        <v>0.17</v>
      </c>
      <c r="I79" s="107"/>
      <c r="J79" s="15"/>
      <c r="K79" s="108">
        <v>6.0000000000000001E-3</v>
      </c>
      <c r="L79" s="107">
        <v>1.5E-3</v>
      </c>
      <c r="M79" s="108">
        <v>1.3</v>
      </c>
      <c r="N79" s="107"/>
      <c r="O79" s="15"/>
      <c r="P79" s="15"/>
      <c r="Q79" s="15"/>
      <c r="R79" s="108">
        <v>0.12</v>
      </c>
      <c r="S79" s="107"/>
      <c r="T79" s="15"/>
      <c r="U79" s="15"/>
      <c r="V79" s="15"/>
      <c r="W79" s="108">
        <v>0.1</v>
      </c>
      <c r="X79" s="118"/>
      <c r="Y79" s="119"/>
      <c r="Z79" s="119"/>
      <c r="AA79" s="120"/>
      <c r="AB79" s="119"/>
      <c r="AC79" s="119"/>
      <c r="AD79" s="119"/>
      <c r="AE79" s="120"/>
      <c r="AF79" s="1820"/>
      <c r="AG79" s="1821"/>
      <c r="AH79" s="1825">
        <v>0.15</v>
      </c>
      <c r="AI79" s="1812" t="s">
        <v>268</v>
      </c>
      <c r="AJ79" s="1813">
        <v>0.28999999999999998</v>
      </c>
      <c r="AK79" s="287">
        <v>0.28999999999999998</v>
      </c>
      <c r="AL79" s="288">
        <f t="shared" si="62"/>
        <v>586.20689655172418</v>
      </c>
      <c r="AM79" s="8"/>
      <c r="AX79" s="337">
        <f>AX78-CA22</f>
        <v>0</v>
      </c>
      <c r="AY79" s="237" t="s">
        <v>272</v>
      </c>
      <c r="AZ79" s="313"/>
      <c r="BA79" s="313"/>
      <c r="BB79" s="313"/>
      <c r="BC79" s="313"/>
    </row>
    <row r="80" spans="1:56">
      <c r="A80" s="1">
        <v>75</v>
      </c>
      <c r="B80" s="102" t="str">
        <f t="shared" si="61"/>
        <v>75 - Zwerghühner, Wachteln; ausgewachsen</v>
      </c>
      <c r="C80" s="103" t="s">
        <v>271</v>
      </c>
      <c r="D80" s="104"/>
      <c r="E80" s="105"/>
      <c r="F80" s="105"/>
      <c r="G80" s="105"/>
      <c r="H80" s="106">
        <v>0.1</v>
      </c>
      <c r="I80" s="107"/>
      <c r="J80" s="15"/>
      <c r="K80" s="108">
        <v>3.0000000000000001E-3</v>
      </c>
      <c r="L80" s="107"/>
      <c r="M80" s="108">
        <v>1</v>
      </c>
      <c r="N80" s="107"/>
      <c r="O80" s="15"/>
      <c r="P80" s="15"/>
      <c r="Q80" s="15"/>
      <c r="R80" s="108">
        <v>0.09</v>
      </c>
      <c r="S80" s="107"/>
      <c r="T80" s="15"/>
      <c r="U80" s="15"/>
      <c r="V80" s="15"/>
      <c r="W80" s="108">
        <v>7.0000000000000007E-2</v>
      </c>
      <c r="X80" s="118"/>
      <c r="Y80" s="119"/>
      <c r="Z80" s="119"/>
      <c r="AA80" s="120"/>
      <c r="AB80" s="119"/>
      <c r="AC80" s="119"/>
      <c r="AD80" s="119"/>
      <c r="AE80" s="120"/>
      <c r="AF80" s="1820"/>
      <c r="AG80" s="1821"/>
      <c r="AH80" s="1825">
        <v>0.09</v>
      </c>
      <c r="AI80" s="1812" t="s">
        <v>271</v>
      </c>
      <c r="AJ80" s="1813"/>
      <c r="AK80" s="287"/>
      <c r="AL80" s="288"/>
      <c r="AM80" s="8"/>
    </row>
    <row r="81" spans="1:44">
      <c r="A81" s="1">
        <v>76</v>
      </c>
      <c r="B81" s="102" t="str">
        <f t="shared" si="61"/>
        <v>76 - Gänse</v>
      </c>
      <c r="C81" s="103" t="s">
        <v>273</v>
      </c>
      <c r="D81" s="104"/>
      <c r="E81" s="105"/>
      <c r="F81" s="105"/>
      <c r="G81" s="105"/>
      <c r="H81" s="106">
        <v>0.28999999999999998</v>
      </c>
      <c r="I81" s="107"/>
      <c r="J81" s="15"/>
      <c r="K81" s="108">
        <v>2.9000000000000001E-2</v>
      </c>
      <c r="L81" s="107">
        <v>8.0000000000000002E-3</v>
      </c>
      <c r="M81" s="108">
        <v>1</v>
      </c>
      <c r="N81" s="107"/>
      <c r="O81" s="15"/>
      <c r="P81" s="15"/>
      <c r="Q81" s="15"/>
      <c r="R81" s="108">
        <v>0.25</v>
      </c>
      <c r="S81" s="107"/>
      <c r="T81" s="15"/>
      <c r="U81" s="15"/>
      <c r="V81" s="15"/>
      <c r="W81" s="108">
        <v>0.2</v>
      </c>
      <c r="X81" s="118"/>
      <c r="Y81" s="119"/>
      <c r="Z81" s="119"/>
      <c r="AA81" s="120"/>
      <c r="AB81" s="119"/>
      <c r="AC81" s="119"/>
      <c r="AD81" s="119"/>
      <c r="AE81" s="120"/>
      <c r="AF81" s="1820"/>
      <c r="AG81" s="1821"/>
      <c r="AH81" s="1825">
        <v>0.26</v>
      </c>
      <c r="AI81" s="1812" t="s">
        <v>273</v>
      </c>
      <c r="AJ81" s="1813"/>
      <c r="AK81" s="287">
        <v>0.57999999999999996</v>
      </c>
      <c r="AL81" s="288">
        <f>170/AK81</f>
        <v>293.10344827586209</v>
      </c>
      <c r="AM81" s="8"/>
    </row>
    <row r="82" spans="1:44">
      <c r="A82" s="1">
        <v>77</v>
      </c>
      <c r="B82" s="102" t="str">
        <f t="shared" si="61"/>
        <v>77 - Enten</v>
      </c>
      <c r="C82" s="103" t="s">
        <v>274</v>
      </c>
      <c r="D82" s="104"/>
      <c r="E82" s="105"/>
      <c r="F82" s="105"/>
      <c r="G82" s="105"/>
      <c r="H82" s="106">
        <v>0.28999999999999998</v>
      </c>
      <c r="I82" s="107"/>
      <c r="J82" s="15"/>
      <c r="K82" s="108">
        <v>1.4E-2</v>
      </c>
      <c r="L82" s="107">
        <v>4.0000000000000001E-3</v>
      </c>
      <c r="M82" s="108">
        <v>1</v>
      </c>
      <c r="N82" s="107"/>
      <c r="O82" s="15"/>
      <c r="P82" s="15"/>
      <c r="Q82" s="15"/>
      <c r="R82" s="108">
        <v>0.25</v>
      </c>
      <c r="S82" s="107"/>
      <c r="T82" s="15"/>
      <c r="U82" s="15"/>
      <c r="V82" s="15"/>
      <c r="W82" s="108">
        <v>0.2</v>
      </c>
      <c r="X82" s="118"/>
      <c r="Y82" s="119"/>
      <c r="Z82" s="119"/>
      <c r="AA82" s="120"/>
      <c r="AB82" s="119"/>
      <c r="AC82" s="119"/>
      <c r="AD82" s="119"/>
      <c r="AE82" s="120"/>
      <c r="AF82" s="1820"/>
      <c r="AG82" s="1821"/>
      <c r="AH82" s="1825">
        <v>0.26</v>
      </c>
      <c r="AI82" s="1812" t="s">
        <v>274</v>
      </c>
      <c r="AJ82" s="1813"/>
      <c r="AK82" s="287">
        <v>0.57999999999999996</v>
      </c>
      <c r="AL82" s="288">
        <f>170/AK82</f>
        <v>293.10344827586209</v>
      </c>
      <c r="AM82" s="8"/>
    </row>
    <row r="83" spans="1:44" ht="13.5" thickBot="1">
      <c r="A83" s="1">
        <v>78</v>
      </c>
      <c r="B83" s="102" t="str">
        <f t="shared" si="61"/>
        <v xml:space="preserve">78 - Truthühner (Puten) </v>
      </c>
      <c r="C83" s="103" t="s">
        <v>275</v>
      </c>
      <c r="D83" s="104"/>
      <c r="E83" s="105"/>
      <c r="F83" s="105"/>
      <c r="G83" s="105"/>
      <c r="H83" s="106">
        <v>0.65</v>
      </c>
      <c r="I83" s="107"/>
      <c r="J83" s="15"/>
      <c r="K83" s="108">
        <v>0.03</v>
      </c>
      <c r="L83" s="107">
        <v>7.0000000000000001E-3</v>
      </c>
      <c r="M83" s="108">
        <v>1.22</v>
      </c>
      <c r="N83" s="107"/>
      <c r="O83" s="15"/>
      <c r="P83" s="15"/>
      <c r="Q83" s="15"/>
      <c r="R83" s="108">
        <v>0.60000000000000009</v>
      </c>
      <c r="S83" s="107"/>
      <c r="T83" s="15"/>
      <c r="U83" s="15"/>
      <c r="V83" s="15"/>
      <c r="W83" s="108">
        <v>0.48</v>
      </c>
      <c r="X83" s="118"/>
      <c r="Y83" s="119"/>
      <c r="Z83" s="119"/>
      <c r="AA83" s="120"/>
      <c r="AB83" s="119"/>
      <c r="AC83" s="119"/>
      <c r="AD83" s="119"/>
      <c r="AE83" s="120"/>
      <c r="AF83" s="1820"/>
      <c r="AG83" s="1821"/>
      <c r="AH83" s="1825">
        <v>0.59</v>
      </c>
      <c r="AI83" s="1812" t="s">
        <v>275</v>
      </c>
      <c r="AJ83" s="1813"/>
      <c r="AK83" s="287">
        <v>0.63</v>
      </c>
      <c r="AL83" s="288">
        <f>170/AK83</f>
        <v>269.84126984126982</v>
      </c>
      <c r="AM83" s="8"/>
    </row>
    <row r="84" spans="1:44" ht="13.5" thickBot="1">
      <c r="A84" s="1">
        <v>79</v>
      </c>
      <c r="B84" s="279" t="s">
        <v>276</v>
      </c>
      <c r="C84" s="48" t="s">
        <v>276</v>
      </c>
      <c r="D84" s="49"/>
      <c r="E84" s="50"/>
      <c r="F84" s="50"/>
      <c r="G84" s="50"/>
      <c r="H84" s="73"/>
      <c r="I84" s="51"/>
      <c r="J84" s="52"/>
      <c r="K84" s="53"/>
      <c r="L84" s="51"/>
      <c r="M84" s="53">
        <v>1</v>
      </c>
      <c r="N84" s="51"/>
      <c r="O84" s="52"/>
      <c r="P84" s="52"/>
      <c r="Q84" s="52"/>
      <c r="R84" s="53"/>
      <c r="S84" s="51"/>
      <c r="T84" s="52"/>
      <c r="U84" s="52"/>
      <c r="V84" s="52"/>
      <c r="W84" s="53"/>
      <c r="X84" s="51"/>
      <c r="Y84" s="52"/>
      <c r="Z84" s="52"/>
      <c r="AA84" s="52"/>
      <c r="AB84" s="52"/>
      <c r="AC84" s="52"/>
      <c r="AD84" s="52"/>
      <c r="AE84" s="53"/>
      <c r="AF84" s="51"/>
      <c r="AG84" s="52"/>
      <c r="AH84" s="53"/>
      <c r="AI84" s="280" t="s">
        <v>276</v>
      </c>
      <c r="AJ84" s="281"/>
      <c r="AK84" s="333"/>
      <c r="AL84" s="288"/>
      <c r="AM84" s="8"/>
    </row>
    <row r="85" spans="1:44">
      <c r="A85" s="1">
        <v>80</v>
      </c>
      <c r="B85" s="102" t="str">
        <f t="shared" ref="B85:B96" si="64">A85&amp;" - "&amp;C85</f>
        <v>80 - Kleinpferde (&lt;300 kg, bis 148 cm) 1/2 bis 3 Jahre</v>
      </c>
      <c r="C85" s="338" t="s">
        <v>277</v>
      </c>
      <c r="D85" s="105"/>
      <c r="E85" s="105"/>
      <c r="F85" s="105"/>
      <c r="G85" s="105"/>
      <c r="H85" s="106">
        <v>8.9</v>
      </c>
      <c r="I85" s="107"/>
      <c r="J85" s="15"/>
      <c r="K85" s="108">
        <v>2</v>
      </c>
      <c r="L85" s="1961">
        <v>0.3</v>
      </c>
      <c r="M85" s="108">
        <v>1</v>
      </c>
      <c r="N85" s="107"/>
      <c r="O85" s="15"/>
      <c r="P85" s="15"/>
      <c r="Q85" s="15"/>
      <c r="R85" s="108">
        <v>4.5</v>
      </c>
      <c r="S85" s="107"/>
      <c r="T85" s="15"/>
      <c r="U85" s="15"/>
      <c r="V85" s="15"/>
      <c r="W85" s="108">
        <v>8.9</v>
      </c>
      <c r="X85" s="118"/>
      <c r="Y85" s="119"/>
      <c r="Z85" s="119"/>
      <c r="AA85" s="120"/>
      <c r="AB85" s="119"/>
      <c r="AC85" s="119"/>
      <c r="AD85" s="119"/>
      <c r="AE85" s="120"/>
      <c r="AF85" s="107"/>
      <c r="AG85" s="15"/>
      <c r="AH85" s="108">
        <v>8.1</v>
      </c>
      <c r="AI85" s="113" t="s">
        <v>278</v>
      </c>
      <c r="AJ85" s="287">
        <v>31.2</v>
      </c>
      <c r="AK85" s="287">
        <v>31.2</v>
      </c>
      <c r="AL85" s="288">
        <f t="shared" ref="AL85:AL90" si="65">170/AK85</f>
        <v>5.4487179487179489</v>
      </c>
      <c r="AM85" s="8"/>
    </row>
    <row r="86" spans="1:44">
      <c r="A86" s="1">
        <v>81</v>
      </c>
      <c r="B86" s="102" t="str">
        <f t="shared" si="64"/>
        <v>81 - Kleinpferde (&lt;300 kg) &gt; 3 Jahre incl. Fohlen bis 1/2 Jahr</v>
      </c>
      <c r="C86" s="338" t="s">
        <v>279</v>
      </c>
      <c r="D86" s="105"/>
      <c r="E86" s="105"/>
      <c r="F86" s="105"/>
      <c r="G86" s="105"/>
      <c r="H86" s="106">
        <v>10.5</v>
      </c>
      <c r="I86" s="107"/>
      <c r="J86" s="15"/>
      <c r="K86" s="108">
        <v>2.5</v>
      </c>
      <c r="L86" s="1961">
        <v>0.5</v>
      </c>
      <c r="M86" s="108">
        <v>1</v>
      </c>
      <c r="N86" s="107"/>
      <c r="O86" s="15"/>
      <c r="P86" s="15"/>
      <c r="Q86" s="15"/>
      <c r="R86" s="108">
        <v>5.3</v>
      </c>
      <c r="S86" s="107"/>
      <c r="T86" s="15"/>
      <c r="U86" s="15"/>
      <c r="V86" s="15"/>
      <c r="W86" s="108">
        <v>10.5</v>
      </c>
      <c r="X86" s="118"/>
      <c r="Y86" s="119"/>
      <c r="Z86" s="119"/>
      <c r="AA86" s="120"/>
      <c r="AB86" s="119"/>
      <c r="AC86" s="119"/>
      <c r="AD86" s="119"/>
      <c r="AE86" s="120"/>
      <c r="AF86" s="107"/>
      <c r="AG86" s="15"/>
      <c r="AH86" s="108">
        <v>9.6</v>
      </c>
      <c r="AI86" s="113" t="s">
        <v>279</v>
      </c>
      <c r="AJ86" s="287">
        <v>50</v>
      </c>
      <c r="AK86" s="287">
        <v>50</v>
      </c>
      <c r="AL86" s="288">
        <f t="shared" si="65"/>
        <v>3.4</v>
      </c>
      <c r="AM86" s="8"/>
    </row>
    <row r="87" spans="1:44">
      <c r="A87" s="1">
        <v>82</v>
      </c>
      <c r="B87" s="102" t="str">
        <f t="shared" si="64"/>
        <v>82 - Kleinpferde (&gt;300 kg, bis 148 cm) 1/2 bis 3 Jahre</v>
      </c>
      <c r="C87" s="338" t="s">
        <v>280</v>
      </c>
      <c r="D87" s="105"/>
      <c r="E87" s="105"/>
      <c r="F87" s="105"/>
      <c r="G87" s="105"/>
      <c r="H87" s="106">
        <v>17.399999999999999</v>
      </c>
      <c r="I87" s="107"/>
      <c r="J87" s="15"/>
      <c r="K87" s="108">
        <v>3</v>
      </c>
      <c r="L87" s="1961">
        <v>0.6</v>
      </c>
      <c r="M87" s="108">
        <v>1</v>
      </c>
      <c r="N87" s="107"/>
      <c r="O87" s="15"/>
      <c r="P87" s="15"/>
      <c r="Q87" s="15"/>
      <c r="R87" s="108">
        <v>8.6999999999999993</v>
      </c>
      <c r="S87" s="107"/>
      <c r="T87" s="15"/>
      <c r="U87" s="15"/>
      <c r="V87" s="15"/>
      <c r="W87" s="108">
        <v>17.399999999999999</v>
      </c>
      <c r="X87" s="118"/>
      <c r="Y87" s="119"/>
      <c r="Z87" s="119"/>
      <c r="AA87" s="120"/>
      <c r="AB87" s="119"/>
      <c r="AC87" s="119"/>
      <c r="AD87" s="119"/>
      <c r="AE87" s="120"/>
      <c r="AF87" s="107"/>
      <c r="AG87" s="15"/>
      <c r="AH87" s="108">
        <v>15.8</v>
      </c>
      <c r="AI87" s="113" t="s">
        <v>281</v>
      </c>
      <c r="AJ87" s="287">
        <v>72.7</v>
      </c>
      <c r="AK87" s="287">
        <v>72.7</v>
      </c>
      <c r="AL87" s="288">
        <f t="shared" si="65"/>
        <v>2.3383768913342502</v>
      </c>
      <c r="AM87" s="8"/>
    </row>
    <row r="88" spans="1:44">
      <c r="A88" s="1">
        <v>83</v>
      </c>
      <c r="B88" s="102" t="str">
        <f t="shared" si="64"/>
        <v>83 - Kleinpferde (&gt;300 kg) &gt; 3 Jahre incl. Fohlen bis 1/2 Jahr</v>
      </c>
      <c r="C88" s="338" t="s">
        <v>282</v>
      </c>
      <c r="D88" s="105"/>
      <c r="E88" s="105"/>
      <c r="F88" s="105"/>
      <c r="G88" s="105"/>
      <c r="H88" s="106">
        <v>20.5</v>
      </c>
      <c r="I88" s="107"/>
      <c r="J88" s="15"/>
      <c r="K88" s="108">
        <v>3.8</v>
      </c>
      <c r="L88" s="107">
        <v>1</v>
      </c>
      <c r="M88" s="108">
        <v>1</v>
      </c>
      <c r="N88" s="107"/>
      <c r="O88" s="15"/>
      <c r="P88" s="15"/>
      <c r="Q88" s="15"/>
      <c r="R88" s="108">
        <v>10.3</v>
      </c>
      <c r="S88" s="107"/>
      <c r="T88" s="15"/>
      <c r="U88" s="15"/>
      <c r="V88" s="15"/>
      <c r="W88" s="108">
        <v>20.5</v>
      </c>
      <c r="X88" s="118"/>
      <c r="Y88" s="119"/>
      <c r="Z88" s="119"/>
      <c r="AA88" s="120"/>
      <c r="AB88" s="119"/>
      <c r="AC88" s="119"/>
      <c r="AD88" s="119"/>
      <c r="AE88" s="120"/>
      <c r="AF88" s="107"/>
      <c r="AG88" s="15"/>
      <c r="AH88" s="108">
        <v>18.7</v>
      </c>
      <c r="AI88" s="113" t="s">
        <v>282</v>
      </c>
      <c r="AJ88" s="287">
        <v>85</v>
      </c>
      <c r="AK88" s="287">
        <v>85</v>
      </c>
      <c r="AL88" s="288">
        <f t="shared" si="65"/>
        <v>2</v>
      </c>
      <c r="AM88" s="8"/>
    </row>
    <row r="89" spans="1:44">
      <c r="A89" s="1">
        <v>84</v>
      </c>
      <c r="B89" s="102" t="str">
        <f t="shared" si="64"/>
        <v>84 - Pferde (&gt;500 kg, über 148 cm) 1/2 bis 3 Jahre</v>
      </c>
      <c r="C89" s="338" t="s">
        <v>283</v>
      </c>
      <c r="D89" s="105"/>
      <c r="E89" s="105"/>
      <c r="F89" s="105"/>
      <c r="G89" s="105"/>
      <c r="H89" s="106">
        <v>31.2</v>
      </c>
      <c r="I89" s="107"/>
      <c r="J89" s="15"/>
      <c r="K89" s="108">
        <v>6</v>
      </c>
      <c r="L89" s="107">
        <v>1</v>
      </c>
      <c r="M89" s="108">
        <v>1</v>
      </c>
      <c r="N89" s="107"/>
      <c r="O89" s="15"/>
      <c r="P89" s="15"/>
      <c r="Q89" s="15"/>
      <c r="R89" s="108">
        <v>15.6</v>
      </c>
      <c r="S89" s="107"/>
      <c r="T89" s="15"/>
      <c r="U89" s="15"/>
      <c r="V89" s="15"/>
      <c r="W89" s="108">
        <v>31.2</v>
      </c>
      <c r="X89" s="118"/>
      <c r="Y89" s="119"/>
      <c r="Z89" s="119"/>
      <c r="AA89" s="120"/>
      <c r="AB89" s="119"/>
      <c r="AC89" s="119"/>
      <c r="AD89" s="119"/>
      <c r="AE89" s="120"/>
      <c r="AF89" s="107"/>
      <c r="AG89" s="15"/>
      <c r="AH89" s="108">
        <v>28.4</v>
      </c>
      <c r="AI89" s="113" t="s">
        <v>284</v>
      </c>
      <c r="AJ89" s="287">
        <v>72.7</v>
      </c>
      <c r="AK89" s="287">
        <v>72.7</v>
      </c>
      <c r="AL89" s="288">
        <f t="shared" si="65"/>
        <v>2.3383768913342502</v>
      </c>
      <c r="AM89" s="8"/>
    </row>
    <row r="90" spans="1:44">
      <c r="A90" s="1">
        <v>85</v>
      </c>
      <c r="B90" s="102" t="str">
        <f t="shared" si="64"/>
        <v>85 - Pferde (&gt;500 kg)&gt; 3 Jahre incl. Fohlen bis 1/2 Jahr</v>
      </c>
      <c r="C90" s="338" t="s">
        <v>285</v>
      </c>
      <c r="D90" s="105"/>
      <c r="E90" s="105"/>
      <c r="F90" s="105"/>
      <c r="G90" s="105"/>
      <c r="H90" s="106">
        <v>36.799999999999997</v>
      </c>
      <c r="I90" s="107"/>
      <c r="J90" s="15"/>
      <c r="K90" s="108">
        <v>6.7</v>
      </c>
      <c r="L90" s="107">
        <v>1</v>
      </c>
      <c r="M90" s="108">
        <v>1</v>
      </c>
      <c r="N90" s="107"/>
      <c r="O90" s="15"/>
      <c r="P90" s="15"/>
      <c r="Q90" s="15"/>
      <c r="R90" s="108">
        <v>18.399999999999999</v>
      </c>
      <c r="S90" s="107"/>
      <c r="T90" s="15"/>
      <c r="U90" s="15"/>
      <c r="V90" s="15"/>
      <c r="W90" s="108">
        <v>36.799999999999997</v>
      </c>
      <c r="X90" s="118"/>
      <c r="Y90" s="119"/>
      <c r="Z90" s="119"/>
      <c r="AA90" s="120"/>
      <c r="AB90" s="119"/>
      <c r="AC90" s="119"/>
      <c r="AD90" s="119"/>
      <c r="AE90" s="120"/>
      <c r="AF90" s="107"/>
      <c r="AG90" s="15"/>
      <c r="AH90" s="108">
        <v>33.5</v>
      </c>
      <c r="AI90" s="113" t="s">
        <v>285</v>
      </c>
      <c r="AJ90" s="115">
        <v>85</v>
      </c>
      <c r="AK90" s="287">
        <v>85</v>
      </c>
      <c r="AL90" s="288">
        <f t="shared" si="65"/>
        <v>2</v>
      </c>
      <c r="AM90" s="8"/>
    </row>
    <row r="91" spans="1:44">
      <c r="A91" s="1">
        <v>86</v>
      </c>
      <c r="B91" s="102" t="str">
        <f t="shared" si="64"/>
        <v>86 - Schafe Lämmer bis 1/2 Jahr</v>
      </c>
      <c r="C91" s="338" t="s">
        <v>286</v>
      </c>
      <c r="D91" s="105"/>
      <c r="E91" s="105"/>
      <c r="F91" s="105"/>
      <c r="G91" s="105"/>
      <c r="H91" s="106">
        <v>5.4</v>
      </c>
      <c r="I91" s="107"/>
      <c r="J91" s="15"/>
      <c r="K91" s="108">
        <v>0.22</v>
      </c>
      <c r="L91" s="107">
        <v>7.0000000000000007E-2</v>
      </c>
      <c r="M91" s="108">
        <v>1</v>
      </c>
      <c r="N91" s="107"/>
      <c r="O91" s="15"/>
      <c r="P91" s="15"/>
      <c r="Q91" s="15"/>
      <c r="R91" s="108">
        <v>2</v>
      </c>
      <c r="S91" s="107"/>
      <c r="T91" s="15"/>
      <c r="U91" s="15"/>
      <c r="V91" s="15"/>
      <c r="W91" s="108">
        <v>5.7</v>
      </c>
      <c r="X91" s="118"/>
      <c r="Y91" s="119"/>
      <c r="Z91" s="119"/>
      <c r="AA91" s="120"/>
      <c r="AB91" s="119"/>
      <c r="AC91" s="119"/>
      <c r="AD91" s="119"/>
      <c r="AE91" s="120"/>
      <c r="AF91" s="107"/>
      <c r="AG91" s="15"/>
      <c r="AH91" s="108">
        <v>4.9000000000000004</v>
      </c>
      <c r="AI91" s="113" t="s">
        <v>286</v>
      </c>
      <c r="AJ91" s="115"/>
      <c r="AK91" s="287"/>
      <c r="AL91" s="288"/>
      <c r="AM91" s="8"/>
      <c r="AQ91" s="188"/>
      <c r="AR91" s="9"/>
    </row>
    <row r="92" spans="1:44">
      <c r="A92" s="1">
        <v>87</v>
      </c>
      <c r="B92" s="102" t="str">
        <f t="shared" si="64"/>
        <v>87 - Schafe ab 1/2 Jahr bis 1,5 Jahre</v>
      </c>
      <c r="C92" s="338" t="s">
        <v>287</v>
      </c>
      <c r="D92" s="105"/>
      <c r="E92" s="105"/>
      <c r="F92" s="105"/>
      <c r="G92" s="105"/>
      <c r="H92" s="106">
        <v>7.3</v>
      </c>
      <c r="I92" s="107"/>
      <c r="J92" s="15"/>
      <c r="K92" s="108">
        <v>0.52</v>
      </c>
      <c r="L92" s="107">
        <v>0.15</v>
      </c>
      <c r="M92" s="108">
        <v>1</v>
      </c>
      <c r="N92" s="107"/>
      <c r="O92" s="15"/>
      <c r="P92" s="15"/>
      <c r="Q92" s="15"/>
      <c r="R92" s="108">
        <v>3.4</v>
      </c>
      <c r="S92" s="107"/>
      <c r="T92" s="15"/>
      <c r="U92" s="15"/>
      <c r="V92" s="15"/>
      <c r="W92" s="108">
        <v>15.5</v>
      </c>
      <c r="X92" s="118"/>
      <c r="Y92" s="119"/>
      <c r="Z92" s="119"/>
      <c r="AA92" s="120"/>
      <c r="AB92" s="119"/>
      <c r="AC92" s="119"/>
      <c r="AD92" s="119"/>
      <c r="AE92" s="120"/>
      <c r="AF92" s="107"/>
      <c r="AG92" s="15"/>
      <c r="AH92" s="108">
        <v>6.6</v>
      </c>
      <c r="AI92" s="113" t="s">
        <v>287</v>
      </c>
      <c r="AJ92" s="115"/>
      <c r="AK92" s="287">
        <v>12.8</v>
      </c>
      <c r="AL92" s="288">
        <f>170/AK92</f>
        <v>13.28125</v>
      </c>
      <c r="AM92" s="8"/>
      <c r="AP92" s="9"/>
      <c r="AQ92" s="9"/>
      <c r="AR92" s="9"/>
    </row>
    <row r="93" spans="1:44">
      <c r="A93" s="1">
        <v>88</v>
      </c>
      <c r="B93" s="102" t="str">
        <f t="shared" si="64"/>
        <v>88 - Mutterschafe</v>
      </c>
      <c r="C93" s="338" t="s">
        <v>288</v>
      </c>
      <c r="D93" s="105"/>
      <c r="E93" s="105"/>
      <c r="F93" s="105"/>
      <c r="G93" s="105"/>
      <c r="H93" s="106">
        <v>7.7</v>
      </c>
      <c r="I93" s="107"/>
      <c r="J93" s="15"/>
      <c r="K93" s="108">
        <v>0.52</v>
      </c>
      <c r="L93" s="107">
        <v>0.15</v>
      </c>
      <c r="M93" s="108">
        <v>1</v>
      </c>
      <c r="N93" s="107"/>
      <c r="O93" s="15"/>
      <c r="P93" s="15"/>
      <c r="Q93" s="15"/>
      <c r="R93" s="108">
        <v>4</v>
      </c>
      <c r="S93" s="107"/>
      <c r="T93" s="15"/>
      <c r="U93" s="15"/>
      <c r="V93" s="15"/>
      <c r="W93" s="108">
        <v>17.5</v>
      </c>
      <c r="X93" s="118"/>
      <c r="Y93" s="119"/>
      <c r="Z93" s="119"/>
      <c r="AA93" s="120"/>
      <c r="AB93" s="119"/>
      <c r="AC93" s="119"/>
      <c r="AD93" s="119"/>
      <c r="AE93" s="120"/>
      <c r="AF93" s="107"/>
      <c r="AG93" s="15"/>
      <c r="AH93" s="108">
        <v>7</v>
      </c>
      <c r="AI93" s="113" t="s">
        <v>288</v>
      </c>
      <c r="AJ93" s="115">
        <v>12.78</v>
      </c>
      <c r="AK93" s="287">
        <v>12.8</v>
      </c>
      <c r="AL93" s="288">
        <f>170/AK93</f>
        <v>13.28125</v>
      </c>
      <c r="AM93" s="8"/>
      <c r="AP93" s="9"/>
      <c r="AQ93" s="9"/>
      <c r="AR93" s="9"/>
    </row>
    <row r="94" spans="1:44">
      <c r="A94" s="1">
        <v>89</v>
      </c>
      <c r="B94" s="102" t="str">
        <f t="shared" si="64"/>
        <v>89 - Ziegen bis 1/2 Jahr</v>
      </c>
      <c r="C94" s="338" t="s">
        <v>289</v>
      </c>
      <c r="D94" s="105"/>
      <c r="E94" s="105"/>
      <c r="F94" s="105"/>
      <c r="G94" s="105"/>
      <c r="H94" s="106">
        <v>5</v>
      </c>
      <c r="I94" s="107"/>
      <c r="J94" s="15"/>
      <c r="K94" s="108">
        <v>0.16</v>
      </c>
      <c r="L94" s="107">
        <v>7.0000000000000007E-2</v>
      </c>
      <c r="M94" s="108">
        <v>1</v>
      </c>
      <c r="N94" s="107"/>
      <c r="O94" s="15"/>
      <c r="P94" s="15"/>
      <c r="Q94" s="15"/>
      <c r="R94" s="108">
        <v>2.2000000000000002</v>
      </c>
      <c r="S94" s="107"/>
      <c r="T94" s="15"/>
      <c r="U94" s="15"/>
      <c r="V94" s="15"/>
      <c r="W94" s="108">
        <v>7.9</v>
      </c>
      <c r="X94" s="118"/>
      <c r="Y94" s="119"/>
      <c r="Z94" s="119"/>
      <c r="AA94" s="120"/>
      <c r="AB94" s="119"/>
      <c r="AC94" s="119"/>
      <c r="AD94" s="119"/>
      <c r="AE94" s="120"/>
      <c r="AF94" s="107"/>
      <c r="AG94" s="15"/>
      <c r="AH94" s="108">
        <v>4.5999999999999996</v>
      </c>
      <c r="AI94" s="113" t="s">
        <v>289</v>
      </c>
      <c r="AJ94" s="115"/>
      <c r="AK94" s="287"/>
      <c r="AL94" s="288"/>
      <c r="AM94" s="8"/>
      <c r="AP94" s="9"/>
      <c r="AQ94" s="9"/>
      <c r="AR94" s="9"/>
    </row>
    <row r="95" spans="1:44">
      <c r="A95" s="1">
        <v>90</v>
      </c>
      <c r="B95" s="102" t="str">
        <f t="shared" si="64"/>
        <v>90 - Ziegen ab 1/2 Jahr bis 1,5 Jahre</v>
      </c>
      <c r="C95" s="338" t="s">
        <v>290</v>
      </c>
      <c r="D95" s="105"/>
      <c r="E95" s="105"/>
      <c r="F95" s="105"/>
      <c r="G95" s="105"/>
      <c r="H95" s="106">
        <v>6.6</v>
      </c>
      <c r="I95" s="107"/>
      <c r="J95" s="15"/>
      <c r="K95" s="108">
        <v>0.38</v>
      </c>
      <c r="L95" s="107">
        <v>0.15</v>
      </c>
      <c r="M95" s="108">
        <v>1</v>
      </c>
      <c r="N95" s="107"/>
      <c r="O95" s="15"/>
      <c r="P95" s="15"/>
      <c r="Q95" s="15"/>
      <c r="R95" s="108">
        <v>3.7</v>
      </c>
      <c r="S95" s="107"/>
      <c r="T95" s="15"/>
      <c r="U95" s="15"/>
      <c r="V95" s="15"/>
      <c r="W95" s="108">
        <v>13.3</v>
      </c>
      <c r="X95" s="118"/>
      <c r="Y95" s="119"/>
      <c r="Z95" s="119"/>
      <c r="AA95" s="120"/>
      <c r="AB95" s="119"/>
      <c r="AC95" s="119"/>
      <c r="AD95" s="119"/>
      <c r="AE95" s="120"/>
      <c r="AF95" s="107"/>
      <c r="AG95" s="15"/>
      <c r="AH95" s="108">
        <v>6</v>
      </c>
      <c r="AI95" s="113" t="s">
        <v>290</v>
      </c>
      <c r="AJ95" s="115"/>
      <c r="AK95" s="287">
        <v>12.8</v>
      </c>
      <c r="AL95" s="288">
        <f>170/AK95</f>
        <v>13.28125</v>
      </c>
      <c r="AM95" s="8"/>
      <c r="AP95" s="9"/>
      <c r="AQ95" s="9"/>
      <c r="AR95" s="9"/>
    </row>
    <row r="96" spans="1:44" ht="13.5" thickBot="1">
      <c r="A96" s="1">
        <v>91</v>
      </c>
      <c r="B96" s="102" t="str">
        <f t="shared" si="64"/>
        <v>91 - Mutterziegen</v>
      </c>
      <c r="C96" s="338" t="s">
        <v>291</v>
      </c>
      <c r="D96" s="105"/>
      <c r="E96" s="105"/>
      <c r="F96" s="105"/>
      <c r="G96" s="105"/>
      <c r="H96" s="106">
        <v>7.2</v>
      </c>
      <c r="I96" s="107"/>
      <c r="J96" s="15"/>
      <c r="K96" s="108">
        <v>0.38</v>
      </c>
      <c r="L96" s="107">
        <v>0.15</v>
      </c>
      <c r="M96" s="108">
        <v>1</v>
      </c>
      <c r="N96" s="107"/>
      <c r="O96" s="15"/>
      <c r="P96" s="15"/>
      <c r="Q96" s="15"/>
      <c r="R96" s="108">
        <v>4.5999999999999996</v>
      </c>
      <c r="S96" s="107"/>
      <c r="T96" s="15"/>
      <c r="U96" s="15"/>
      <c r="V96" s="15"/>
      <c r="W96" s="108">
        <v>15.2</v>
      </c>
      <c r="X96" s="118"/>
      <c r="Y96" s="119"/>
      <c r="Z96" s="119"/>
      <c r="AA96" s="120"/>
      <c r="AB96" s="119"/>
      <c r="AC96" s="119"/>
      <c r="AD96" s="119"/>
      <c r="AE96" s="120"/>
      <c r="AF96" s="107"/>
      <c r="AG96" s="15"/>
      <c r="AH96" s="108">
        <v>6.6</v>
      </c>
      <c r="AI96" s="113" t="s">
        <v>291</v>
      </c>
      <c r="AJ96" s="115">
        <v>12.78</v>
      </c>
      <c r="AK96" s="287">
        <v>12.8</v>
      </c>
      <c r="AL96" s="288">
        <f>170/AK96</f>
        <v>13.28125</v>
      </c>
      <c r="AM96" s="8"/>
      <c r="AP96" s="9"/>
      <c r="AQ96" s="9"/>
      <c r="AR96" s="9"/>
    </row>
    <row r="97" spans="1:44" ht="13.5" thickBot="1">
      <c r="A97"/>
      <c r="B97" s="279" t="s">
        <v>292</v>
      </c>
      <c r="C97" s="279" t="s">
        <v>292</v>
      </c>
      <c r="D97" s="50"/>
      <c r="E97" s="50"/>
      <c r="F97" s="50"/>
      <c r="G97" s="50"/>
      <c r="H97" s="73"/>
      <c r="I97" s="51"/>
      <c r="J97" s="52"/>
      <c r="K97" s="53"/>
      <c r="L97" s="51"/>
      <c r="M97" s="53"/>
      <c r="N97" s="51"/>
      <c r="O97" s="52"/>
      <c r="P97" s="52"/>
      <c r="Q97" s="52"/>
      <c r="R97" s="53"/>
      <c r="S97" s="51"/>
      <c r="T97" s="52"/>
      <c r="U97" s="52"/>
      <c r="V97" s="52"/>
      <c r="W97" s="53"/>
      <c r="X97" s="51"/>
      <c r="Y97" s="52"/>
      <c r="Z97" s="52"/>
      <c r="AA97" s="52"/>
      <c r="AB97" s="52"/>
      <c r="AC97" s="52"/>
      <c r="AD97" s="52"/>
      <c r="AE97" s="53"/>
      <c r="AF97" s="51"/>
      <c r="AG97" s="52"/>
      <c r="AH97" s="53"/>
      <c r="AI97" s="280"/>
      <c r="AJ97" s="281"/>
      <c r="AK97" s="333"/>
      <c r="AL97" s="288"/>
      <c r="AM97" s="8"/>
      <c r="AP97" s="9"/>
      <c r="AQ97" s="9"/>
      <c r="AR97" s="9"/>
    </row>
    <row r="98" spans="1:44">
      <c r="A98" s="1">
        <v>92</v>
      </c>
      <c r="B98" s="102" t="str">
        <f t="shared" ref="B98:B113" si="66">A98&amp;" - "&amp;C98</f>
        <v>92 - Rotwild Alttier inkl. Nachzucht bis 14 Monate</v>
      </c>
      <c r="C98" s="338" t="s">
        <v>293</v>
      </c>
      <c r="D98" s="105"/>
      <c r="E98" s="105"/>
      <c r="F98" s="105"/>
      <c r="G98" s="105"/>
      <c r="H98" s="106">
        <v>20.9</v>
      </c>
      <c r="I98" s="107"/>
      <c r="J98" s="15"/>
      <c r="K98" s="108"/>
      <c r="L98" s="107">
        <v>0.25</v>
      </c>
      <c r="M98" s="108">
        <v>1</v>
      </c>
      <c r="N98" s="107"/>
      <c r="O98" s="15"/>
      <c r="P98" s="15"/>
      <c r="Q98" s="15"/>
      <c r="R98" s="108">
        <v>10.9</v>
      </c>
      <c r="S98" s="107"/>
      <c r="T98" s="15"/>
      <c r="U98" s="15"/>
      <c r="V98" s="15"/>
      <c r="W98" s="108">
        <v>47.5</v>
      </c>
      <c r="X98" s="118"/>
      <c r="Y98" s="119"/>
      <c r="Z98" s="119"/>
      <c r="AA98" s="120"/>
      <c r="AB98" s="119"/>
      <c r="AC98" s="119"/>
      <c r="AD98" s="119"/>
      <c r="AE98" s="120"/>
      <c r="AF98" s="107"/>
      <c r="AG98" s="15"/>
      <c r="AH98" s="108"/>
      <c r="AI98" s="113" t="s">
        <v>293</v>
      </c>
      <c r="AJ98" s="287">
        <v>34</v>
      </c>
      <c r="AK98" s="287">
        <v>34</v>
      </c>
      <c r="AL98" s="288">
        <f>170/AK98</f>
        <v>5</v>
      </c>
      <c r="AM98" s="8"/>
      <c r="AP98" s="9"/>
      <c r="AQ98" s="9"/>
      <c r="AR98" s="9"/>
    </row>
    <row r="99" spans="1:44">
      <c r="A99" s="1">
        <v>93</v>
      </c>
      <c r="B99" s="102" t="str">
        <f t="shared" si="66"/>
        <v>93 - Rotwild Hirsche</v>
      </c>
      <c r="C99" s="338" t="s">
        <v>294</v>
      </c>
      <c r="D99" s="105"/>
      <c r="E99" s="105"/>
      <c r="F99" s="105"/>
      <c r="G99" s="105"/>
      <c r="H99" s="106">
        <v>17</v>
      </c>
      <c r="I99" s="107"/>
      <c r="J99" s="15"/>
      <c r="K99" s="108"/>
      <c r="L99" s="107">
        <v>0.25</v>
      </c>
      <c r="M99" s="108">
        <v>1</v>
      </c>
      <c r="N99" s="107"/>
      <c r="O99" s="15"/>
      <c r="P99" s="15"/>
      <c r="Q99" s="15"/>
      <c r="R99" s="108">
        <v>8.8000000000000007</v>
      </c>
      <c r="S99" s="107"/>
      <c r="T99" s="15"/>
      <c r="U99" s="15"/>
      <c r="V99" s="15"/>
      <c r="W99" s="108">
        <v>38.6</v>
      </c>
      <c r="X99" s="118"/>
      <c r="Y99" s="119"/>
      <c r="Z99" s="119"/>
      <c r="AA99" s="120"/>
      <c r="AB99" s="119"/>
      <c r="AC99" s="119"/>
      <c r="AD99" s="119"/>
      <c r="AE99" s="120"/>
      <c r="AF99" s="107"/>
      <c r="AG99" s="15"/>
      <c r="AH99" s="108"/>
      <c r="AI99" s="113" t="s">
        <v>294</v>
      </c>
      <c r="AJ99" s="287">
        <v>34</v>
      </c>
      <c r="AK99" s="287">
        <v>34</v>
      </c>
      <c r="AL99" s="288">
        <f>170/AK99</f>
        <v>5</v>
      </c>
      <c r="AM99" s="8"/>
      <c r="AP99" s="9"/>
      <c r="AQ99" s="9"/>
      <c r="AR99" s="9"/>
    </row>
    <row r="100" spans="1:44">
      <c r="A100" s="1">
        <v>94</v>
      </c>
      <c r="B100" s="102" t="str">
        <f t="shared" si="66"/>
        <v>94 - Dammwild, Lamas Alpacas - Alttiere inkl. Nachzucht bis 14 Monate</v>
      </c>
      <c r="C100" s="338" t="s">
        <v>295</v>
      </c>
      <c r="D100" s="105"/>
      <c r="E100" s="105"/>
      <c r="F100" s="105"/>
      <c r="G100" s="105"/>
      <c r="H100" s="106">
        <v>10.1</v>
      </c>
      <c r="I100" s="107"/>
      <c r="J100" s="15"/>
      <c r="K100" s="108"/>
      <c r="L100" s="107">
        <v>0.15</v>
      </c>
      <c r="M100" s="108">
        <v>1</v>
      </c>
      <c r="N100" s="107"/>
      <c r="O100" s="15"/>
      <c r="P100" s="15"/>
      <c r="Q100" s="15"/>
      <c r="R100" s="108">
        <v>3.7</v>
      </c>
      <c r="S100" s="107"/>
      <c r="T100" s="15"/>
      <c r="U100" s="15"/>
      <c r="V100" s="15"/>
      <c r="W100" s="108">
        <v>16.100000000000001</v>
      </c>
      <c r="X100" s="118"/>
      <c r="Y100" s="119"/>
      <c r="Z100" s="119"/>
      <c r="AA100" s="120"/>
      <c r="AB100" s="119"/>
      <c r="AC100" s="119"/>
      <c r="AD100" s="119"/>
      <c r="AE100" s="120"/>
      <c r="AF100" s="107"/>
      <c r="AG100" s="15"/>
      <c r="AH100" s="108"/>
      <c r="AI100" s="113" t="s">
        <v>295</v>
      </c>
      <c r="AJ100" s="287">
        <v>17</v>
      </c>
      <c r="AK100" s="287">
        <v>17</v>
      </c>
      <c r="AL100" s="288">
        <f>170/AK100</f>
        <v>10</v>
      </c>
      <c r="AM100" s="8"/>
      <c r="AP100" s="9"/>
      <c r="AQ100" s="9"/>
      <c r="AR100" s="9"/>
    </row>
    <row r="101" spans="1:44">
      <c r="A101" s="1">
        <v>95</v>
      </c>
      <c r="B101" s="102" t="str">
        <f t="shared" si="66"/>
        <v>95 - Dammwild, Lama, Alpacas Hirsche</v>
      </c>
      <c r="C101" s="338" t="s">
        <v>296</v>
      </c>
      <c r="D101" s="105"/>
      <c r="E101" s="105"/>
      <c r="F101" s="105"/>
      <c r="G101" s="105"/>
      <c r="H101" s="106">
        <v>7.1</v>
      </c>
      <c r="I101" s="107"/>
      <c r="J101" s="15"/>
      <c r="K101" s="108"/>
      <c r="L101" s="107">
        <v>0.15</v>
      </c>
      <c r="M101" s="108">
        <v>1</v>
      </c>
      <c r="N101" s="107"/>
      <c r="O101" s="15"/>
      <c r="P101" s="15"/>
      <c r="Q101" s="15"/>
      <c r="R101" s="108">
        <v>3.7</v>
      </c>
      <c r="S101" s="107"/>
      <c r="T101" s="15"/>
      <c r="U101" s="15"/>
      <c r="V101" s="15"/>
      <c r="W101" s="108">
        <v>16.100000000000001</v>
      </c>
      <c r="X101" s="118"/>
      <c r="Y101" s="119"/>
      <c r="Z101" s="119"/>
      <c r="AA101" s="120"/>
      <c r="AB101" s="119"/>
      <c r="AC101" s="119"/>
      <c r="AD101" s="119"/>
      <c r="AE101" s="120"/>
      <c r="AF101" s="107"/>
      <c r="AG101" s="15"/>
      <c r="AH101" s="108"/>
      <c r="AI101" s="113" t="s">
        <v>296</v>
      </c>
      <c r="AJ101" s="287">
        <v>17</v>
      </c>
      <c r="AK101" s="287">
        <v>17</v>
      </c>
      <c r="AL101" s="288">
        <f>170/AK101</f>
        <v>10</v>
      </c>
      <c r="AM101" s="8"/>
      <c r="AP101" s="9"/>
      <c r="AQ101" s="9"/>
      <c r="AR101" s="9"/>
    </row>
    <row r="102" spans="1:44">
      <c r="A102" s="1">
        <v>96</v>
      </c>
      <c r="B102" s="102" t="str">
        <f t="shared" si="66"/>
        <v>96 - Straußenküken bis 1/2 Jahr Gülle</v>
      </c>
      <c r="C102" s="338" t="s">
        <v>297</v>
      </c>
      <c r="D102" s="105"/>
      <c r="E102" s="105"/>
      <c r="F102" s="99">
        <v>1.24</v>
      </c>
      <c r="G102" s="99"/>
      <c r="H102" s="354"/>
      <c r="I102" s="107"/>
      <c r="J102" s="15"/>
      <c r="K102" s="108"/>
      <c r="L102" s="107"/>
      <c r="M102" s="108">
        <v>1</v>
      </c>
      <c r="N102" s="107"/>
      <c r="O102" s="15"/>
      <c r="P102" s="2723">
        <v>1.24</v>
      </c>
      <c r="Q102" s="2723"/>
      <c r="R102" s="109"/>
      <c r="S102" s="95"/>
      <c r="T102" s="2723"/>
      <c r="U102" s="2723">
        <v>1.24</v>
      </c>
      <c r="V102" s="2723"/>
      <c r="W102" s="109"/>
      <c r="X102" s="118"/>
      <c r="Y102" s="119"/>
      <c r="Z102" s="119"/>
      <c r="AA102" s="120"/>
      <c r="AB102" s="119"/>
      <c r="AC102" s="119"/>
      <c r="AD102" s="119"/>
      <c r="AE102" s="120"/>
      <c r="AF102" s="107"/>
      <c r="AG102" s="15"/>
      <c r="AH102" s="108"/>
      <c r="AI102" s="113" t="s">
        <v>297</v>
      </c>
      <c r="AJ102" s="115"/>
      <c r="AK102" s="287"/>
      <c r="AL102"/>
      <c r="AM102" s="8"/>
      <c r="AP102" s="9"/>
      <c r="AQ102" s="9"/>
      <c r="AR102" s="9"/>
    </row>
    <row r="103" spans="1:44">
      <c r="A103" s="1">
        <v>97</v>
      </c>
      <c r="B103" s="102" t="str">
        <f t="shared" si="66"/>
        <v>97 - Straußenküken bis 1/2 Jahr Mist</v>
      </c>
      <c r="C103" s="338" t="s">
        <v>298</v>
      </c>
      <c r="D103" s="105"/>
      <c r="E103" s="105"/>
      <c r="F103" s="99"/>
      <c r="G103" s="99"/>
      <c r="H103" s="354">
        <v>1.1000000000000001</v>
      </c>
      <c r="I103" s="107"/>
      <c r="J103" s="15"/>
      <c r="K103" s="108"/>
      <c r="L103" s="107"/>
      <c r="M103" s="108">
        <v>1</v>
      </c>
      <c r="N103" s="107"/>
      <c r="O103" s="15"/>
      <c r="P103" s="2723"/>
      <c r="Q103" s="2723"/>
      <c r="R103" s="109">
        <v>1.1000000000000001</v>
      </c>
      <c r="S103" s="95"/>
      <c r="T103" s="2723"/>
      <c r="U103" s="2723"/>
      <c r="V103" s="2723"/>
      <c r="W103" s="109">
        <v>1.1000000000000001</v>
      </c>
      <c r="X103" s="118"/>
      <c r="Y103" s="119"/>
      <c r="Z103" s="119"/>
      <c r="AA103" s="120"/>
      <c r="AB103" s="119"/>
      <c r="AC103" s="119"/>
      <c r="AD103" s="119"/>
      <c r="AE103" s="120"/>
      <c r="AF103" s="107"/>
      <c r="AG103" s="15"/>
      <c r="AH103" s="108"/>
      <c r="AI103" s="113" t="s">
        <v>298</v>
      </c>
      <c r="AJ103" s="115"/>
      <c r="AK103" s="287"/>
      <c r="AL103"/>
      <c r="AM103" s="8"/>
      <c r="AP103" s="9"/>
      <c r="AQ103" s="9"/>
      <c r="AR103" s="9"/>
    </row>
    <row r="104" spans="1:44">
      <c r="A104" s="1">
        <v>98</v>
      </c>
      <c r="B104" s="102" t="str">
        <f t="shared" si="66"/>
        <v>98 - Jungstraußen 0,5 - 1,5 Jahre Gülle</v>
      </c>
      <c r="C104" s="338" t="s">
        <v>299</v>
      </c>
      <c r="D104" s="105"/>
      <c r="E104" s="105"/>
      <c r="F104" s="99">
        <v>3.19</v>
      </c>
      <c r="G104" s="99"/>
      <c r="H104" s="354"/>
      <c r="I104" s="107"/>
      <c r="J104" s="15"/>
      <c r="K104" s="108"/>
      <c r="L104" s="107">
        <v>0.15</v>
      </c>
      <c r="M104" s="108">
        <v>1</v>
      </c>
      <c r="N104" s="107"/>
      <c r="O104" s="15"/>
      <c r="P104" s="2723">
        <v>3.19</v>
      </c>
      <c r="Q104" s="2723"/>
      <c r="R104" s="109"/>
      <c r="S104" s="95"/>
      <c r="T104" s="2723"/>
      <c r="U104" s="2723">
        <v>3.19</v>
      </c>
      <c r="V104" s="2723"/>
      <c r="W104" s="109"/>
      <c r="X104" s="118"/>
      <c r="Y104" s="119"/>
      <c r="Z104" s="119"/>
      <c r="AA104" s="120"/>
      <c r="AB104" s="119"/>
      <c r="AC104" s="119"/>
      <c r="AD104" s="119"/>
      <c r="AE104" s="120"/>
      <c r="AF104" s="107"/>
      <c r="AG104" s="15"/>
      <c r="AH104" s="108"/>
      <c r="AI104" s="113" t="s">
        <v>299</v>
      </c>
      <c r="AJ104" s="115"/>
      <c r="AK104" s="287"/>
      <c r="AL104"/>
      <c r="AM104" s="8"/>
      <c r="AP104" s="9"/>
      <c r="AQ104" s="9"/>
      <c r="AR104" s="9"/>
    </row>
    <row r="105" spans="1:44">
      <c r="A105" s="1">
        <v>99</v>
      </c>
      <c r="B105" s="102" t="str">
        <f t="shared" si="66"/>
        <v>99 - Jungstraußen 0,5 - 1,5 Jahre Mist</v>
      </c>
      <c r="C105" s="338" t="s">
        <v>300</v>
      </c>
      <c r="D105" s="105"/>
      <c r="E105" s="105"/>
      <c r="F105" s="99"/>
      <c r="G105" s="99"/>
      <c r="H105" s="354">
        <v>2.7</v>
      </c>
      <c r="I105" s="107"/>
      <c r="J105" s="15"/>
      <c r="K105" s="108"/>
      <c r="L105" s="107">
        <v>0.15</v>
      </c>
      <c r="M105" s="108">
        <v>1</v>
      </c>
      <c r="N105" s="107"/>
      <c r="O105" s="15"/>
      <c r="P105" s="2723"/>
      <c r="Q105" s="2723"/>
      <c r="R105" s="109">
        <v>2.7</v>
      </c>
      <c r="S105" s="95"/>
      <c r="T105" s="2723"/>
      <c r="U105" s="2723"/>
      <c r="V105" s="2723"/>
      <c r="W105" s="109">
        <v>2.7</v>
      </c>
      <c r="X105" s="118"/>
      <c r="Y105" s="119"/>
      <c r="Z105" s="119"/>
      <c r="AA105" s="120"/>
      <c r="AB105" s="119"/>
      <c r="AC105" s="119"/>
      <c r="AD105" s="119"/>
      <c r="AE105" s="120"/>
      <c r="AF105" s="107"/>
      <c r="AG105" s="15"/>
      <c r="AH105" s="108"/>
      <c r="AI105" s="113" t="s">
        <v>300</v>
      </c>
      <c r="AJ105" s="115"/>
      <c r="AK105" s="287"/>
      <c r="AL105"/>
      <c r="AM105" s="8"/>
      <c r="AP105" s="9"/>
      <c r="AQ105" s="9"/>
      <c r="AR105" s="9"/>
    </row>
    <row r="106" spans="1:44">
      <c r="A106" s="1">
        <v>100</v>
      </c>
      <c r="B106" s="102" t="str">
        <f t="shared" si="66"/>
        <v>100 - Zuchtstraußenhenne - Gülle</v>
      </c>
      <c r="C106" s="338" t="s">
        <v>301</v>
      </c>
      <c r="D106" s="105"/>
      <c r="E106" s="105"/>
      <c r="F106" s="99">
        <v>4.0999999999999996</v>
      </c>
      <c r="G106" s="99"/>
      <c r="H106" s="354"/>
      <c r="I106" s="107"/>
      <c r="J106" s="15"/>
      <c r="K106" s="108"/>
      <c r="L106" s="107">
        <v>0.15</v>
      </c>
      <c r="M106" s="108">
        <v>1</v>
      </c>
      <c r="N106" s="107"/>
      <c r="O106" s="15"/>
      <c r="P106" s="2723">
        <v>4.0999999999999996</v>
      </c>
      <c r="Q106" s="2723"/>
      <c r="R106" s="109"/>
      <c r="S106" s="95"/>
      <c r="T106" s="2723"/>
      <c r="U106" s="2723">
        <v>4.0999999999999996</v>
      </c>
      <c r="V106" s="2723"/>
      <c r="W106" s="109"/>
      <c r="X106" s="118"/>
      <c r="Y106" s="119"/>
      <c r="Z106" s="119"/>
      <c r="AA106" s="120"/>
      <c r="AB106" s="119"/>
      <c r="AC106" s="119"/>
      <c r="AD106" s="119"/>
      <c r="AE106" s="120"/>
      <c r="AF106" s="107"/>
      <c r="AG106" s="15"/>
      <c r="AH106" s="108"/>
      <c r="AI106" s="113" t="s">
        <v>301</v>
      </c>
      <c r="AJ106" s="115"/>
      <c r="AK106" s="287"/>
      <c r="AL106"/>
      <c r="AM106" s="8"/>
      <c r="AP106" s="9"/>
      <c r="AQ106" s="9"/>
      <c r="AR106" s="9"/>
    </row>
    <row r="107" spans="1:44">
      <c r="A107" s="1">
        <v>101</v>
      </c>
      <c r="B107" s="102" t="str">
        <f t="shared" si="66"/>
        <v>101 - Zuchtstraußenhenne - Mist</v>
      </c>
      <c r="C107" s="338" t="s">
        <v>302</v>
      </c>
      <c r="D107" s="105"/>
      <c r="E107" s="105"/>
      <c r="F107" s="99"/>
      <c r="G107" s="99"/>
      <c r="H107" s="354">
        <v>3.52</v>
      </c>
      <c r="I107" s="107"/>
      <c r="J107" s="15"/>
      <c r="K107" s="108"/>
      <c r="L107" s="107">
        <v>0.15</v>
      </c>
      <c r="M107" s="108">
        <v>1</v>
      </c>
      <c r="N107" s="107"/>
      <c r="O107" s="15"/>
      <c r="P107" s="2723"/>
      <c r="Q107" s="2723"/>
      <c r="R107" s="109">
        <v>3.52</v>
      </c>
      <c r="S107" s="95"/>
      <c r="T107" s="2723"/>
      <c r="U107" s="2723"/>
      <c r="V107" s="2723"/>
      <c r="W107" s="109">
        <v>3.52</v>
      </c>
      <c r="X107" s="118"/>
      <c r="Y107" s="119"/>
      <c r="Z107" s="119"/>
      <c r="AA107" s="120"/>
      <c r="AB107" s="119"/>
      <c r="AC107" s="119"/>
      <c r="AD107" s="119"/>
      <c r="AE107" s="120"/>
      <c r="AF107" s="107"/>
      <c r="AG107" s="15"/>
      <c r="AH107" s="108"/>
      <c r="AI107" s="113" t="s">
        <v>302</v>
      </c>
      <c r="AJ107" s="115"/>
      <c r="AK107" s="287"/>
      <c r="AL107"/>
      <c r="AM107" s="8"/>
      <c r="AP107" s="9"/>
      <c r="AQ107" s="9"/>
      <c r="AR107" s="9"/>
    </row>
    <row r="108" spans="1:44">
      <c r="A108" s="1">
        <v>102</v>
      </c>
      <c r="B108" s="102" t="str">
        <f t="shared" si="66"/>
        <v>102 - Zuchtstraußenhahn - Gülle</v>
      </c>
      <c r="C108" s="338" t="s">
        <v>303</v>
      </c>
      <c r="D108" s="105"/>
      <c r="E108" s="105"/>
      <c r="F108" s="99">
        <v>4.9000000000000004</v>
      </c>
      <c r="G108" s="99"/>
      <c r="H108" s="354"/>
      <c r="I108" s="107"/>
      <c r="J108" s="15"/>
      <c r="K108" s="108"/>
      <c r="L108" s="107">
        <v>0.15</v>
      </c>
      <c r="M108" s="108">
        <v>1</v>
      </c>
      <c r="N108" s="107"/>
      <c r="O108" s="15"/>
      <c r="P108" s="2723">
        <v>4.9000000000000004</v>
      </c>
      <c r="Q108" s="2723"/>
      <c r="R108" s="109"/>
      <c r="S108" s="95"/>
      <c r="T108" s="2723"/>
      <c r="U108" s="2723">
        <v>4.9000000000000004</v>
      </c>
      <c r="V108" s="2723"/>
      <c r="W108" s="109"/>
      <c r="X108" s="118"/>
      <c r="Y108" s="119"/>
      <c r="Z108" s="119"/>
      <c r="AA108" s="120"/>
      <c r="AB108" s="119"/>
      <c r="AC108" s="119"/>
      <c r="AD108" s="119"/>
      <c r="AE108" s="120"/>
      <c r="AF108" s="107"/>
      <c r="AG108" s="15"/>
      <c r="AH108" s="108"/>
      <c r="AI108" s="113" t="s">
        <v>303</v>
      </c>
      <c r="AJ108" s="115"/>
      <c r="AK108" s="287"/>
      <c r="AL108"/>
      <c r="AM108" s="8"/>
      <c r="AP108" s="9"/>
      <c r="AQ108" s="9"/>
      <c r="AR108" s="9"/>
    </row>
    <row r="109" spans="1:44">
      <c r="A109" s="1">
        <v>103</v>
      </c>
      <c r="B109" s="102" t="str">
        <f t="shared" si="66"/>
        <v>103 - Zuchtstraußenhahn - Mist</v>
      </c>
      <c r="C109" s="338" t="s">
        <v>304</v>
      </c>
      <c r="D109" s="105"/>
      <c r="E109" s="105"/>
      <c r="F109" s="99"/>
      <c r="G109" s="99"/>
      <c r="H109" s="354">
        <v>4.2</v>
      </c>
      <c r="I109" s="107"/>
      <c r="J109" s="15"/>
      <c r="K109" s="108"/>
      <c r="L109" s="107">
        <v>0.15</v>
      </c>
      <c r="M109" s="108">
        <v>1</v>
      </c>
      <c r="N109" s="107"/>
      <c r="O109" s="15"/>
      <c r="P109" s="2723"/>
      <c r="Q109" s="2723"/>
      <c r="R109" s="109">
        <v>4.2</v>
      </c>
      <c r="S109" s="95"/>
      <c r="T109" s="2723"/>
      <c r="U109" s="2723"/>
      <c r="V109" s="2723"/>
      <c r="W109" s="109">
        <v>4.2</v>
      </c>
      <c r="X109" s="118"/>
      <c r="Y109" s="119"/>
      <c r="Z109" s="119"/>
      <c r="AA109" s="120"/>
      <c r="AB109" s="119"/>
      <c r="AC109" s="119"/>
      <c r="AD109" s="119"/>
      <c r="AE109" s="120"/>
      <c r="AF109" s="107"/>
      <c r="AG109" s="15"/>
      <c r="AH109" s="108"/>
      <c r="AI109" s="113" t="s">
        <v>304</v>
      </c>
      <c r="AJ109" s="115"/>
      <c r="AK109" s="287"/>
      <c r="AL109"/>
      <c r="AM109" s="8"/>
      <c r="AP109" s="9"/>
      <c r="AQ109" s="9"/>
      <c r="AR109" s="9"/>
    </row>
    <row r="110" spans="1:44">
      <c r="A110" s="1">
        <v>104</v>
      </c>
      <c r="B110" s="102" t="str">
        <f t="shared" si="66"/>
        <v>104 - Mastkaninchen - Gülle</v>
      </c>
      <c r="C110" s="338" t="s">
        <v>305</v>
      </c>
      <c r="D110" s="105"/>
      <c r="E110" s="105"/>
      <c r="F110" s="99">
        <v>0.72</v>
      </c>
      <c r="G110" s="99"/>
      <c r="H110" s="354"/>
      <c r="I110" s="107"/>
      <c r="J110" s="15"/>
      <c r="K110" s="108"/>
      <c r="L110" s="107">
        <v>2.5000000000000001E-3</v>
      </c>
      <c r="M110" s="108">
        <v>1</v>
      </c>
      <c r="N110" s="107"/>
      <c r="O110" s="15"/>
      <c r="P110" s="2723">
        <v>0.72</v>
      </c>
      <c r="Q110" s="2723"/>
      <c r="R110" s="109"/>
      <c r="S110" s="95"/>
      <c r="T110" s="2723"/>
      <c r="U110" s="2723">
        <v>0.72</v>
      </c>
      <c r="V110" s="2723"/>
      <c r="W110" s="109"/>
      <c r="X110" s="118"/>
      <c r="Y110" s="119"/>
      <c r="Z110" s="119"/>
      <c r="AA110" s="120"/>
      <c r="AB110" s="119"/>
      <c r="AC110" s="119"/>
      <c r="AD110" s="119"/>
      <c r="AE110" s="120"/>
      <c r="AF110" s="107"/>
      <c r="AG110" s="15"/>
      <c r="AH110" s="108"/>
      <c r="AI110" s="113" t="s">
        <v>305</v>
      </c>
      <c r="AJ110" s="115">
        <v>400</v>
      </c>
      <c r="AK110" s="287">
        <v>0.42499999999999999</v>
      </c>
      <c r="AL110" s="288">
        <f>170/AK110</f>
        <v>400</v>
      </c>
      <c r="AM110" s="8"/>
      <c r="AP110" s="9"/>
      <c r="AQ110" s="9"/>
      <c r="AR110" s="9"/>
    </row>
    <row r="111" spans="1:44">
      <c r="A111" s="1">
        <v>105</v>
      </c>
      <c r="B111" s="102" t="str">
        <f t="shared" si="66"/>
        <v>105 - Mastkaninchen - Tiefstall</v>
      </c>
      <c r="C111" s="338" t="s">
        <v>306</v>
      </c>
      <c r="D111" s="105"/>
      <c r="E111" s="105"/>
      <c r="F111" s="99"/>
      <c r="G111" s="99"/>
      <c r="H111" s="354">
        <v>0.62</v>
      </c>
      <c r="I111" s="107"/>
      <c r="J111" s="15"/>
      <c r="K111" s="108"/>
      <c r="L111" s="107">
        <v>2.5000000000000001E-3</v>
      </c>
      <c r="M111" s="108">
        <v>1</v>
      </c>
      <c r="N111" s="107"/>
      <c r="O111" s="15"/>
      <c r="P111" s="2723"/>
      <c r="Q111" s="2723"/>
      <c r="R111" s="109">
        <v>0.62</v>
      </c>
      <c r="S111" s="95"/>
      <c r="T111" s="2723"/>
      <c r="U111" s="2723"/>
      <c r="V111" s="2723"/>
      <c r="W111" s="109">
        <v>0.62</v>
      </c>
      <c r="X111" s="118"/>
      <c r="Y111" s="119"/>
      <c r="Z111" s="119"/>
      <c r="AA111" s="120"/>
      <c r="AB111" s="119"/>
      <c r="AC111" s="119"/>
      <c r="AD111" s="119"/>
      <c r="AE111" s="120"/>
      <c r="AF111" s="107"/>
      <c r="AG111" s="15"/>
      <c r="AH111" s="108"/>
      <c r="AI111" s="113" t="s">
        <v>306</v>
      </c>
      <c r="AJ111" s="115">
        <v>400</v>
      </c>
      <c r="AK111" s="287">
        <v>0.42499999999999999</v>
      </c>
      <c r="AL111" s="288">
        <f>170/AK111</f>
        <v>400</v>
      </c>
      <c r="AM111" s="8"/>
      <c r="AP111" s="9"/>
      <c r="AQ111" s="9"/>
      <c r="AR111" s="9"/>
    </row>
    <row r="112" spans="1:44">
      <c r="A112" s="1">
        <v>106</v>
      </c>
      <c r="B112" s="102" t="str">
        <f t="shared" si="66"/>
        <v>106 - Zuchtkaninchen - Gülle</v>
      </c>
      <c r="C112" s="338" t="s">
        <v>307</v>
      </c>
      <c r="D112" s="105"/>
      <c r="E112" s="105"/>
      <c r="F112" s="99">
        <v>1.57</v>
      </c>
      <c r="G112" s="99"/>
      <c r="H112" s="354"/>
      <c r="I112" s="107"/>
      <c r="J112" s="15"/>
      <c r="K112" s="108"/>
      <c r="L112" s="107">
        <v>2.5000000000000001E-2</v>
      </c>
      <c r="M112" s="108">
        <v>1</v>
      </c>
      <c r="N112" s="107"/>
      <c r="O112" s="15"/>
      <c r="P112" s="2723">
        <v>1.57</v>
      </c>
      <c r="Q112" s="2723"/>
      <c r="R112" s="109"/>
      <c r="S112" s="95"/>
      <c r="T112" s="2723"/>
      <c r="U112" s="2723">
        <v>1.57</v>
      </c>
      <c r="V112" s="2723"/>
      <c r="W112" s="109"/>
      <c r="X112" s="118"/>
      <c r="Y112" s="119"/>
      <c r="Z112" s="119"/>
      <c r="AA112" s="120"/>
      <c r="AB112" s="119"/>
      <c r="AC112" s="119"/>
      <c r="AD112" s="119"/>
      <c r="AE112" s="120"/>
      <c r="AF112" s="107"/>
      <c r="AG112" s="15"/>
      <c r="AH112" s="108"/>
      <c r="AI112" s="113" t="s">
        <v>307</v>
      </c>
      <c r="AJ112" s="115">
        <v>100</v>
      </c>
      <c r="AK112" s="287">
        <v>1.7000000000000002</v>
      </c>
      <c r="AL112" s="288">
        <f>170/AK112</f>
        <v>99.999999999999986</v>
      </c>
      <c r="AM112" s="8"/>
      <c r="AP112" s="9"/>
      <c r="AQ112" s="9"/>
      <c r="AR112" s="9"/>
    </row>
    <row r="113" spans="1:44" ht="13.5" thickBot="1">
      <c r="A113" s="1">
        <v>107</v>
      </c>
      <c r="B113" s="102" t="str">
        <f t="shared" si="66"/>
        <v>107 - Zuchtkaninchen - Tiestall</v>
      </c>
      <c r="C113" s="339" t="s">
        <v>308</v>
      </c>
      <c r="D113" s="340"/>
      <c r="E113" s="340"/>
      <c r="F113" s="2727"/>
      <c r="G113" s="2727"/>
      <c r="H113" s="2728">
        <v>1.34</v>
      </c>
      <c r="I113" s="341"/>
      <c r="J113" s="125"/>
      <c r="K113" s="342"/>
      <c r="L113" s="341">
        <v>2.5000000000000001E-2</v>
      </c>
      <c r="M113" s="342">
        <v>1</v>
      </c>
      <c r="N113" s="341"/>
      <c r="O113" s="125"/>
      <c r="P113" s="2724"/>
      <c r="Q113" s="2724"/>
      <c r="R113" s="2725">
        <v>1.34</v>
      </c>
      <c r="S113" s="2726"/>
      <c r="T113" s="2724"/>
      <c r="U113" s="2724"/>
      <c r="V113" s="2724"/>
      <c r="W113" s="2725">
        <v>1.34</v>
      </c>
      <c r="X113" s="118"/>
      <c r="Y113" s="119"/>
      <c r="Z113" s="119"/>
      <c r="AA113" s="120"/>
      <c r="AB113" s="119"/>
      <c r="AC113" s="119"/>
      <c r="AD113" s="119"/>
      <c r="AE113" s="120"/>
      <c r="AF113" s="341"/>
      <c r="AG113" s="125"/>
      <c r="AH113" s="342"/>
      <c r="AI113" s="343" t="s">
        <v>308</v>
      </c>
      <c r="AJ113" s="115">
        <v>100</v>
      </c>
      <c r="AK113" s="287">
        <v>1.7000000000000002</v>
      </c>
      <c r="AL113" s="288">
        <f>170/AK113</f>
        <v>99.999999999999986</v>
      </c>
      <c r="AM113" s="8"/>
      <c r="AP113" s="9"/>
      <c r="AQ113" s="9"/>
      <c r="AR113" s="9"/>
    </row>
    <row r="114" spans="1:44" ht="13.5" thickBot="1">
      <c r="A114"/>
      <c r="B114" s="279" t="s">
        <v>309</v>
      </c>
      <c r="C114" s="279" t="s">
        <v>309</v>
      </c>
      <c r="D114" s="50"/>
      <c r="E114" s="50"/>
      <c r="F114" s="50"/>
      <c r="G114" s="50"/>
      <c r="H114" s="73"/>
      <c r="I114" s="51"/>
      <c r="J114" s="52"/>
      <c r="K114" s="53"/>
      <c r="L114" s="51"/>
      <c r="M114" s="53"/>
      <c r="N114" s="51"/>
      <c r="O114" s="52"/>
      <c r="P114" s="52"/>
      <c r="Q114" s="52"/>
      <c r="R114" s="53"/>
      <c r="S114" s="51"/>
      <c r="T114" s="52"/>
      <c r="U114" s="52"/>
      <c r="V114" s="52"/>
      <c r="W114" s="53"/>
      <c r="X114" s="51"/>
      <c r="Y114" s="52"/>
      <c r="Z114" s="52"/>
      <c r="AA114" s="52"/>
      <c r="AB114" s="52"/>
      <c r="AC114" s="52"/>
      <c r="AD114" s="52"/>
      <c r="AE114" s="53"/>
      <c r="AF114" s="51"/>
      <c r="AG114" s="52"/>
      <c r="AH114" s="53"/>
      <c r="AI114" s="280" t="s">
        <v>309</v>
      </c>
      <c r="AJ114" s="281"/>
      <c r="AK114" s="333"/>
      <c r="AL114"/>
      <c r="AM114" s="8"/>
      <c r="AP114" s="9"/>
      <c r="AQ114" s="9"/>
      <c r="AR114" s="9"/>
    </row>
    <row r="115" spans="1:44">
      <c r="A115" s="1">
        <v>108</v>
      </c>
      <c r="B115" s="102" t="str">
        <f t="shared" ref="B115:B153" si="67">A115&amp;" - "&amp;C115</f>
        <v>108 - Zwergrind - andere Kälber und Jungrinder unter 1/2 Jahr - Gülle = N abLager</v>
      </c>
      <c r="C115" s="344" t="s">
        <v>310</v>
      </c>
      <c r="D115" s="345">
        <v>6.35</v>
      </c>
      <c r="E115" s="346"/>
      <c r="F115" s="346"/>
      <c r="G115" s="346"/>
      <c r="H115" s="347"/>
      <c r="I115" s="348">
        <v>0.65</v>
      </c>
      <c r="J115" s="184">
        <v>0</v>
      </c>
      <c r="K115" s="278">
        <v>0</v>
      </c>
      <c r="L115" s="277">
        <v>0.2</v>
      </c>
      <c r="M115" s="278">
        <v>1</v>
      </c>
      <c r="N115" s="349">
        <v>3.55</v>
      </c>
      <c r="O115" s="184">
        <v>0</v>
      </c>
      <c r="P115" s="184">
        <v>0</v>
      </c>
      <c r="Q115" s="350">
        <v>0</v>
      </c>
      <c r="R115" s="351">
        <v>0</v>
      </c>
      <c r="S115" s="352">
        <v>5.45</v>
      </c>
      <c r="T115" s="350">
        <v>0</v>
      </c>
      <c r="U115" s="350">
        <v>0</v>
      </c>
      <c r="V115" s="350">
        <v>0</v>
      </c>
      <c r="W115" s="351">
        <v>0</v>
      </c>
      <c r="X115" s="118"/>
      <c r="Y115" s="119"/>
      <c r="Z115" s="119"/>
      <c r="AA115" s="120"/>
      <c r="AB115" s="119"/>
      <c r="AC115" s="119"/>
      <c r="AD115" s="119"/>
      <c r="AE115" s="120"/>
      <c r="AF115" s="277"/>
      <c r="AG115" s="184"/>
      <c r="AH115" s="278"/>
      <c r="AI115" s="353" t="s">
        <v>311</v>
      </c>
      <c r="AJ115" s="115"/>
      <c r="AK115" s="287"/>
      <c r="AL115"/>
      <c r="AM115" s="8"/>
      <c r="AP115" s="9"/>
      <c r="AQ115" s="9"/>
      <c r="AR115" s="9"/>
    </row>
    <row r="116" spans="1:44">
      <c r="A116" s="1">
        <v>109</v>
      </c>
      <c r="B116" s="102" t="str">
        <f t="shared" si="67"/>
        <v>109 - Zwergrind - andere Kälber und Jungrinder unter 1/2 Jahr - Mist/Jauche</v>
      </c>
      <c r="C116" s="338" t="s">
        <v>312</v>
      </c>
      <c r="D116" s="105"/>
      <c r="E116" s="105"/>
      <c r="F116" s="105"/>
      <c r="G116" s="99">
        <v>2.6</v>
      </c>
      <c r="H116" s="354">
        <v>2.6</v>
      </c>
      <c r="I116" s="355">
        <v>0</v>
      </c>
      <c r="J116" s="99">
        <v>0.35</v>
      </c>
      <c r="K116" s="108">
        <v>0.4</v>
      </c>
      <c r="L116" s="107">
        <v>0.2</v>
      </c>
      <c r="M116" s="108">
        <v>1</v>
      </c>
      <c r="N116" s="355">
        <v>0</v>
      </c>
      <c r="O116" s="15">
        <v>0</v>
      </c>
      <c r="P116" s="15">
        <v>0</v>
      </c>
      <c r="Q116" s="100">
        <v>0.17750000000000002</v>
      </c>
      <c r="R116" s="356">
        <v>3.3725000000000001</v>
      </c>
      <c r="S116" s="98">
        <v>0</v>
      </c>
      <c r="T116" s="100">
        <v>0</v>
      </c>
      <c r="U116" s="100">
        <v>0</v>
      </c>
      <c r="V116" s="100">
        <v>1.7985</v>
      </c>
      <c r="W116" s="356">
        <v>3.6515</v>
      </c>
      <c r="X116" s="118"/>
      <c r="Y116" s="119"/>
      <c r="Z116" s="119"/>
      <c r="AA116" s="120"/>
      <c r="AB116" s="119"/>
      <c r="AC116" s="119"/>
      <c r="AD116" s="119"/>
      <c r="AE116" s="120"/>
      <c r="AF116" s="107"/>
      <c r="AG116" s="15"/>
      <c r="AH116" s="108"/>
      <c r="AI116" s="113" t="s">
        <v>312</v>
      </c>
      <c r="AJ116" s="115"/>
      <c r="AK116" s="287"/>
      <c r="AL116"/>
      <c r="AM116" s="8"/>
      <c r="AP116" s="9"/>
      <c r="AQ116" s="9"/>
      <c r="AR116" s="9"/>
    </row>
    <row r="117" spans="1:44">
      <c r="A117" s="1">
        <v>110</v>
      </c>
      <c r="B117" s="102" t="str">
        <f t="shared" si="67"/>
        <v>110 - Zwergrind - andere Kälber und Jungrinder unter 1/2 Jahr - Tiefstallmist</v>
      </c>
      <c r="C117" s="338" t="s">
        <v>313</v>
      </c>
      <c r="D117" s="105"/>
      <c r="E117" s="105"/>
      <c r="F117" s="105"/>
      <c r="G117" s="99"/>
      <c r="H117" s="354">
        <v>5.2</v>
      </c>
      <c r="I117" s="355">
        <v>0</v>
      </c>
      <c r="J117" s="15">
        <v>0</v>
      </c>
      <c r="K117" s="101">
        <v>0.85</v>
      </c>
      <c r="L117" s="107">
        <v>0.2</v>
      </c>
      <c r="M117" s="108">
        <v>1</v>
      </c>
      <c r="N117" s="355">
        <v>0</v>
      </c>
      <c r="O117" s="15">
        <v>0</v>
      </c>
      <c r="P117" s="15">
        <v>0</v>
      </c>
      <c r="Q117" s="100">
        <v>0</v>
      </c>
      <c r="R117" s="356">
        <v>3.55</v>
      </c>
      <c r="S117" s="98">
        <v>0</v>
      </c>
      <c r="T117" s="100">
        <v>0</v>
      </c>
      <c r="U117" s="100">
        <v>0</v>
      </c>
      <c r="V117" s="100">
        <v>0</v>
      </c>
      <c r="W117" s="356">
        <v>5.45</v>
      </c>
      <c r="X117" s="118"/>
      <c r="Y117" s="119"/>
      <c r="Z117" s="119"/>
      <c r="AA117" s="120"/>
      <c r="AB117" s="119"/>
      <c r="AC117" s="119"/>
      <c r="AD117" s="119"/>
      <c r="AE117" s="120"/>
      <c r="AF117" s="107"/>
      <c r="AG117" s="15"/>
      <c r="AH117" s="108"/>
      <c r="AI117" s="113" t="s">
        <v>313</v>
      </c>
      <c r="AJ117" s="115"/>
      <c r="AK117" s="287"/>
      <c r="AL117"/>
      <c r="AM117" s="8"/>
      <c r="AP117" s="9"/>
      <c r="AQ117" s="9"/>
      <c r="AR117" s="9"/>
    </row>
    <row r="118" spans="1:44">
      <c r="A118" s="1">
        <v>111</v>
      </c>
      <c r="B118" s="102" t="str">
        <f t="shared" si="67"/>
        <v>111 - Zwergrind - Jungvieh 1/2 bis 1 Jahr - Gülle</v>
      </c>
      <c r="C118" s="338" t="s">
        <v>314</v>
      </c>
      <c r="D118" s="99">
        <v>17.2</v>
      </c>
      <c r="E118" s="105"/>
      <c r="F118" s="105"/>
      <c r="G118" s="99"/>
      <c r="H118" s="354"/>
      <c r="I118" s="355">
        <v>1.7000000000000002</v>
      </c>
      <c r="J118" s="15">
        <v>0</v>
      </c>
      <c r="K118" s="108">
        <v>0</v>
      </c>
      <c r="L118" s="107">
        <v>0.30000000000000004</v>
      </c>
      <c r="M118" s="108">
        <v>1</v>
      </c>
      <c r="N118" s="355">
        <v>6.75</v>
      </c>
      <c r="O118" s="15">
        <v>0</v>
      </c>
      <c r="P118" s="15">
        <v>0</v>
      </c>
      <c r="Q118" s="100">
        <v>0</v>
      </c>
      <c r="R118" s="356">
        <v>0</v>
      </c>
      <c r="S118" s="98">
        <v>21.55</v>
      </c>
      <c r="T118" s="100">
        <v>0</v>
      </c>
      <c r="U118" s="100">
        <v>0</v>
      </c>
      <c r="V118" s="100">
        <v>0</v>
      </c>
      <c r="W118" s="356">
        <v>0</v>
      </c>
      <c r="X118" s="118"/>
      <c r="Y118" s="119"/>
      <c r="Z118" s="119"/>
      <c r="AA118" s="120"/>
      <c r="AB118" s="119"/>
      <c r="AC118" s="119"/>
      <c r="AD118" s="119"/>
      <c r="AE118" s="120"/>
      <c r="AF118" s="107"/>
      <c r="AG118" s="15"/>
      <c r="AH118" s="108"/>
      <c r="AI118" s="113" t="s">
        <v>314</v>
      </c>
      <c r="AJ118" s="115"/>
      <c r="AK118" s="287"/>
      <c r="AL118"/>
      <c r="AM118" s="8"/>
      <c r="AP118" s="9"/>
      <c r="AQ118" s="9"/>
      <c r="AR118" s="9"/>
    </row>
    <row r="119" spans="1:44">
      <c r="A119" s="1">
        <v>112</v>
      </c>
      <c r="B119" s="102" t="str">
        <f t="shared" si="67"/>
        <v>112 - Zwergrind - Jungvieh 1/2 bis 1 Jahr - Mist/Jauche</v>
      </c>
      <c r="C119" s="338" t="s">
        <v>315</v>
      </c>
      <c r="D119" s="105"/>
      <c r="E119" s="105"/>
      <c r="F119" s="105"/>
      <c r="G119" s="99">
        <v>7.1</v>
      </c>
      <c r="H119" s="354">
        <v>7.1</v>
      </c>
      <c r="I119" s="355">
        <v>0</v>
      </c>
      <c r="J119" s="99">
        <v>0.85</v>
      </c>
      <c r="K119" s="101">
        <v>0.9</v>
      </c>
      <c r="L119" s="107">
        <v>0.30000000000000004</v>
      </c>
      <c r="M119" s="108">
        <v>1</v>
      </c>
      <c r="N119" s="355">
        <v>0</v>
      </c>
      <c r="O119" s="15">
        <v>0</v>
      </c>
      <c r="P119" s="15">
        <v>0</v>
      </c>
      <c r="Q119" s="100">
        <v>0.33750000000000002</v>
      </c>
      <c r="R119" s="356">
        <v>6.4124999999999996</v>
      </c>
      <c r="S119" s="98">
        <v>0</v>
      </c>
      <c r="T119" s="100">
        <v>0</v>
      </c>
      <c r="U119" s="100">
        <v>0</v>
      </c>
      <c r="V119" s="100">
        <v>7.1115000000000004</v>
      </c>
      <c r="W119" s="356">
        <v>14.438499999999999</v>
      </c>
      <c r="X119" s="118"/>
      <c r="Y119" s="119"/>
      <c r="Z119" s="119"/>
      <c r="AA119" s="120"/>
      <c r="AB119" s="119"/>
      <c r="AC119" s="119"/>
      <c r="AD119" s="119"/>
      <c r="AE119" s="120"/>
      <c r="AF119" s="107"/>
      <c r="AG119" s="15"/>
      <c r="AH119" s="108"/>
      <c r="AI119" s="113" t="s">
        <v>315</v>
      </c>
      <c r="AJ119" s="115"/>
      <c r="AK119" s="287"/>
      <c r="AL119"/>
      <c r="AM119" s="8"/>
      <c r="AP119" s="9"/>
      <c r="AQ119" s="9"/>
      <c r="AR119" s="9"/>
    </row>
    <row r="120" spans="1:44">
      <c r="A120" s="1">
        <v>113</v>
      </c>
      <c r="B120" s="102" t="str">
        <f t="shared" si="67"/>
        <v>113 - Zwergrind - Jungvieh 1/2 bis 1 Jahr - Tiefstallmist</v>
      </c>
      <c r="C120" s="338" t="s">
        <v>316</v>
      </c>
      <c r="D120" s="105"/>
      <c r="E120" s="105"/>
      <c r="F120" s="105"/>
      <c r="G120" s="99"/>
      <c r="H120" s="354">
        <v>14.2</v>
      </c>
      <c r="I120" s="355">
        <v>0</v>
      </c>
      <c r="J120" s="99">
        <v>0</v>
      </c>
      <c r="K120" s="101">
        <v>1.9500000000000002</v>
      </c>
      <c r="L120" s="107">
        <v>0.30000000000000004</v>
      </c>
      <c r="M120" s="108">
        <v>1</v>
      </c>
      <c r="N120" s="355">
        <v>0</v>
      </c>
      <c r="O120" s="15">
        <v>0</v>
      </c>
      <c r="P120" s="15">
        <v>0</v>
      </c>
      <c r="Q120" s="100">
        <v>0</v>
      </c>
      <c r="R120" s="356">
        <v>6.75</v>
      </c>
      <c r="S120" s="98">
        <v>0</v>
      </c>
      <c r="T120" s="100">
        <v>0</v>
      </c>
      <c r="U120" s="100">
        <v>0</v>
      </c>
      <c r="V120" s="100">
        <v>0</v>
      </c>
      <c r="W120" s="356">
        <v>21.55</v>
      </c>
      <c r="X120" s="118"/>
      <c r="Y120" s="119"/>
      <c r="Z120" s="119"/>
      <c r="AA120" s="120"/>
      <c r="AB120" s="119"/>
      <c r="AC120" s="119"/>
      <c r="AD120" s="119"/>
      <c r="AE120" s="120"/>
      <c r="AF120" s="107"/>
      <c r="AG120" s="15"/>
      <c r="AH120" s="108"/>
      <c r="AI120" s="113" t="s">
        <v>316</v>
      </c>
      <c r="AJ120" s="115"/>
      <c r="AK120" s="287"/>
      <c r="AL120"/>
      <c r="AM120" s="8"/>
      <c r="AP120" s="9"/>
      <c r="AQ120" s="9"/>
      <c r="AR120" s="9"/>
    </row>
    <row r="121" spans="1:44">
      <c r="A121" s="1">
        <v>114</v>
      </c>
      <c r="B121" s="102" t="str">
        <f t="shared" si="67"/>
        <v>114 - Zwergrind - Jungvieh 1 bis 2 Jahr - Gülle</v>
      </c>
      <c r="C121" s="338" t="s">
        <v>317</v>
      </c>
      <c r="D121" s="99">
        <v>22.8</v>
      </c>
      <c r="E121" s="105"/>
      <c r="F121" s="105"/>
      <c r="G121" s="99"/>
      <c r="H121" s="354"/>
      <c r="I121" s="355">
        <v>2.9</v>
      </c>
      <c r="J121" s="99">
        <v>0</v>
      </c>
      <c r="K121" s="101">
        <v>0</v>
      </c>
      <c r="L121" s="107">
        <v>0.30000000000000004</v>
      </c>
      <c r="M121" s="108">
        <v>1</v>
      </c>
      <c r="N121" s="355">
        <v>9.8000000000000007</v>
      </c>
      <c r="O121" s="15">
        <v>0</v>
      </c>
      <c r="P121" s="15">
        <v>0</v>
      </c>
      <c r="Q121" s="100">
        <v>0</v>
      </c>
      <c r="R121" s="356">
        <v>0</v>
      </c>
      <c r="S121" s="98">
        <v>37.4</v>
      </c>
      <c r="T121" s="100">
        <v>0</v>
      </c>
      <c r="U121" s="100">
        <v>0</v>
      </c>
      <c r="V121" s="100">
        <v>0</v>
      </c>
      <c r="W121" s="356">
        <v>0</v>
      </c>
      <c r="X121" s="118"/>
      <c r="Y121" s="119"/>
      <c r="Z121" s="119"/>
      <c r="AA121" s="120"/>
      <c r="AB121" s="119"/>
      <c r="AC121" s="119"/>
      <c r="AD121" s="119"/>
      <c r="AE121" s="120"/>
      <c r="AF121" s="107"/>
      <c r="AG121" s="15"/>
      <c r="AH121" s="108"/>
      <c r="AI121" s="113" t="s">
        <v>317</v>
      </c>
      <c r="AJ121" s="115"/>
      <c r="AK121" s="287"/>
      <c r="AL121"/>
      <c r="AM121" s="8"/>
      <c r="AP121" s="9"/>
      <c r="AQ121" s="9"/>
      <c r="AR121" s="9"/>
    </row>
    <row r="122" spans="1:44">
      <c r="A122" s="1">
        <v>115</v>
      </c>
      <c r="B122" s="102" t="str">
        <f t="shared" si="67"/>
        <v>115 - Zwergrind - Jungvieh 1 bis 2 Jahr - Mist/Jauche</v>
      </c>
      <c r="C122" s="338" t="s">
        <v>318</v>
      </c>
      <c r="D122" s="105"/>
      <c r="E122" s="105"/>
      <c r="F122" s="105"/>
      <c r="G122" s="99">
        <v>9.35</v>
      </c>
      <c r="H122" s="354">
        <v>9.4</v>
      </c>
      <c r="I122" s="355">
        <v>0</v>
      </c>
      <c r="J122" s="99">
        <v>1.45</v>
      </c>
      <c r="K122" s="101">
        <v>1.5</v>
      </c>
      <c r="L122" s="107">
        <v>0.30000000000000004</v>
      </c>
      <c r="M122" s="108">
        <v>1</v>
      </c>
      <c r="N122" s="355">
        <v>0</v>
      </c>
      <c r="O122" s="15">
        <v>0</v>
      </c>
      <c r="P122" s="15">
        <v>0</v>
      </c>
      <c r="Q122" s="100">
        <v>0.49</v>
      </c>
      <c r="R122" s="356">
        <v>9.31</v>
      </c>
      <c r="S122" s="98">
        <v>0</v>
      </c>
      <c r="T122" s="100">
        <v>0</v>
      </c>
      <c r="U122" s="100">
        <v>0</v>
      </c>
      <c r="V122" s="100">
        <v>12.342000000000001</v>
      </c>
      <c r="W122" s="356">
        <v>25.058</v>
      </c>
      <c r="X122" s="118"/>
      <c r="Y122" s="119"/>
      <c r="Z122" s="119"/>
      <c r="AA122" s="120"/>
      <c r="AB122" s="119"/>
      <c r="AC122" s="119"/>
      <c r="AD122" s="119"/>
      <c r="AE122" s="120"/>
      <c r="AF122" s="107"/>
      <c r="AG122" s="15"/>
      <c r="AH122" s="108"/>
      <c r="AI122" s="113" t="s">
        <v>318</v>
      </c>
      <c r="AJ122" s="115"/>
      <c r="AK122" s="287"/>
      <c r="AL122"/>
      <c r="AM122" s="8"/>
      <c r="AP122" s="9"/>
      <c r="AQ122" s="9"/>
      <c r="AR122" s="9"/>
    </row>
    <row r="123" spans="1:44">
      <c r="A123" s="1">
        <v>116</v>
      </c>
      <c r="B123" s="102" t="str">
        <f t="shared" si="67"/>
        <v>116 - Zwergrind - Jungvieh 1 bis 2 Jahr - Tiefstallmist</v>
      </c>
      <c r="C123" s="338" t="s">
        <v>319</v>
      </c>
      <c r="D123" s="105"/>
      <c r="E123" s="105"/>
      <c r="F123" s="105"/>
      <c r="G123" s="99"/>
      <c r="H123" s="354">
        <v>18.75</v>
      </c>
      <c r="I123" s="355">
        <v>0</v>
      </c>
      <c r="J123" s="99">
        <v>0</v>
      </c>
      <c r="K123" s="101">
        <v>3.1</v>
      </c>
      <c r="L123" s="107">
        <v>0.30000000000000004</v>
      </c>
      <c r="M123" s="108">
        <v>1</v>
      </c>
      <c r="N123" s="355">
        <v>0</v>
      </c>
      <c r="O123" s="15">
        <v>0</v>
      </c>
      <c r="P123" s="15">
        <v>0</v>
      </c>
      <c r="Q123" s="100">
        <v>0</v>
      </c>
      <c r="R123" s="356">
        <v>9.8000000000000007</v>
      </c>
      <c r="S123" s="98">
        <v>0</v>
      </c>
      <c r="T123" s="100">
        <v>0</v>
      </c>
      <c r="U123" s="100">
        <v>0</v>
      </c>
      <c r="V123" s="100">
        <v>0</v>
      </c>
      <c r="W123" s="356">
        <v>37.4</v>
      </c>
      <c r="X123" s="118"/>
      <c r="Y123" s="119"/>
      <c r="Z123" s="119"/>
      <c r="AA123" s="120"/>
      <c r="AB123" s="119"/>
      <c r="AC123" s="119"/>
      <c r="AD123" s="119"/>
      <c r="AE123" s="120"/>
      <c r="AF123" s="107"/>
      <c r="AG123" s="15"/>
      <c r="AH123" s="108"/>
      <c r="AI123" s="113" t="s">
        <v>319</v>
      </c>
      <c r="AJ123" s="115"/>
      <c r="AK123" s="287"/>
      <c r="AL123"/>
      <c r="AM123" s="8"/>
      <c r="AP123" s="9"/>
      <c r="AQ123" s="9"/>
      <c r="AR123" s="9"/>
    </row>
    <row r="124" spans="1:44">
      <c r="A124" s="1">
        <v>117</v>
      </c>
      <c r="B124" s="102" t="str">
        <f t="shared" si="67"/>
        <v>117 - Zwergrind - Ochsen, Stiere - Gülle</v>
      </c>
      <c r="C124" s="338" t="s">
        <v>320</v>
      </c>
      <c r="D124" s="99">
        <v>27.35</v>
      </c>
      <c r="E124" s="105"/>
      <c r="F124" s="105"/>
      <c r="G124" s="99"/>
      <c r="H124" s="354"/>
      <c r="I124" s="355">
        <v>3.55</v>
      </c>
      <c r="J124" s="99">
        <v>0</v>
      </c>
      <c r="K124" s="101">
        <v>0</v>
      </c>
      <c r="L124" s="107">
        <v>0.5</v>
      </c>
      <c r="M124" s="108">
        <v>1</v>
      </c>
      <c r="N124" s="355">
        <v>12.4</v>
      </c>
      <c r="O124" s="15">
        <v>0</v>
      </c>
      <c r="P124" s="15">
        <v>0</v>
      </c>
      <c r="Q124" s="100">
        <v>0</v>
      </c>
      <c r="R124" s="356">
        <v>0</v>
      </c>
      <c r="S124" s="98">
        <v>42.45</v>
      </c>
      <c r="T124" s="100">
        <v>0</v>
      </c>
      <c r="U124" s="100">
        <v>0</v>
      </c>
      <c r="V124" s="100">
        <v>0</v>
      </c>
      <c r="W124" s="356">
        <v>0</v>
      </c>
      <c r="X124" s="118"/>
      <c r="Y124" s="119"/>
      <c r="Z124" s="119"/>
      <c r="AA124" s="120"/>
      <c r="AB124" s="119"/>
      <c r="AC124" s="119"/>
      <c r="AD124" s="119"/>
      <c r="AE124" s="120"/>
      <c r="AF124" s="107"/>
      <c r="AG124" s="15"/>
      <c r="AH124" s="108"/>
      <c r="AI124" s="113" t="s">
        <v>320</v>
      </c>
      <c r="AJ124" s="115"/>
      <c r="AK124" s="287"/>
      <c r="AL124"/>
      <c r="AM124" s="8"/>
      <c r="AP124" s="9"/>
      <c r="AQ124" s="9"/>
      <c r="AR124" s="9"/>
    </row>
    <row r="125" spans="1:44">
      <c r="A125" s="1">
        <v>118</v>
      </c>
      <c r="B125" s="102" t="str">
        <f t="shared" si="67"/>
        <v>118 - Zwergrind - Ochsen, Stiere - Mist/Jauche</v>
      </c>
      <c r="C125" s="338" t="s">
        <v>321</v>
      </c>
      <c r="D125" s="105"/>
      <c r="E125" s="105"/>
      <c r="F125" s="105"/>
      <c r="G125" s="99">
        <v>11.25</v>
      </c>
      <c r="H125" s="354">
        <v>11.3</v>
      </c>
      <c r="I125" s="355">
        <v>0</v>
      </c>
      <c r="J125" s="99">
        <v>1.75</v>
      </c>
      <c r="K125" s="101">
        <v>1.75</v>
      </c>
      <c r="L125" s="107">
        <v>0.5</v>
      </c>
      <c r="M125" s="108">
        <v>1</v>
      </c>
      <c r="N125" s="355">
        <v>0</v>
      </c>
      <c r="O125" s="15">
        <v>0</v>
      </c>
      <c r="P125" s="15">
        <v>0</v>
      </c>
      <c r="Q125" s="100">
        <v>0.62</v>
      </c>
      <c r="R125" s="356">
        <v>11.78</v>
      </c>
      <c r="S125" s="98">
        <v>0</v>
      </c>
      <c r="T125" s="100">
        <v>0</v>
      </c>
      <c r="U125" s="100">
        <v>0</v>
      </c>
      <c r="V125" s="100">
        <v>14.0085</v>
      </c>
      <c r="W125" s="356">
        <v>28.441500000000001</v>
      </c>
      <c r="X125" s="118"/>
      <c r="Y125" s="119"/>
      <c r="Z125" s="119"/>
      <c r="AA125" s="120"/>
      <c r="AB125" s="119"/>
      <c r="AC125" s="119"/>
      <c r="AD125" s="119"/>
      <c r="AE125" s="120"/>
      <c r="AF125" s="107"/>
      <c r="AG125" s="15"/>
      <c r="AH125" s="108"/>
      <c r="AI125" s="113" t="s">
        <v>321</v>
      </c>
      <c r="AJ125" s="115"/>
      <c r="AK125" s="287"/>
      <c r="AL125"/>
      <c r="AM125" s="8"/>
      <c r="AP125" s="9"/>
      <c r="AQ125" s="9"/>
      <c r="AR125" s="9"/>
    </row>
    <row r="126" spans="1:44">
      <c r="A126" s="1">
        <v>119</v>
      </c>
      <c r="B126" s="102" t="str">
        <f t="shared" si="67"/>
        <v>119 - Zwergrind - Ochsen, Stiere - Tiefstallmist</v>
      </c>
      <c r="C126" s="338" t="s">
        <v>322</v>
      </c>
      <c r="D126" s="105"/>
      <c r="E126" s="105"/>
      <c r="F126" s="105"/>
      <c r="G126" s="99"/>
      <c r="H126" s="354">
        <v>22.55</v>
      </c>
      <c r="I126" s="355">
        <v>0</v>
      </c>
      <c r="J126" s="99">
        <v>0</v>
      </c>
      <c r="K126" s="101">
        <v>3.85</v>
      </c>
      <c r="L126" s="107">
        <v>0.5</v>
      </c>
      <c r="M126" s="108">
        <v>1</v>
      </c>
      <c r="N126" s="355">
        <v>0</v>
      </c>
      <c r="O126" s="15">
        <v>0</v>
      </c>
      <c r="P126" s="15">
        <v>0</v>
      </c>
      <c r="Q126" s="100">
        <v>0</v>
      </c>
      <c r="R126" s="356">
        <v>12.4</v>
      </c>
      <c r="S126" s="98">
        <v>0</v>
      </c>
      <c r="T126" s="100">
        <v>0</v>
      </c>
      <c r="U126" s="100">
        <v>0</v>
      </c>
      <c r="V126" s="100">
        <v>0</v>
      </c>
      <c r="W126" s="356">
        <v>42.45</v>
      </c>
      <c r="X126" s="118"/>
      <c r="Y126" s="119"/>
      <c r="Z126" s="119"/>
      <c r="AA126" s="120"/>
      <c r="AB126" s="119"/>
      <c r="AC126" s="119"/>
      <c r="AD126" s="119"/>
      <c r="AE126" s="120"/>
      <c r="AF126" s="107"/>
      <c r="AG126" s="15"/>
      <c r="AH126" s="108"/>
      <c r="AI126" s="113" t="s">
        <v>322</v>
      </c>
      <c r="AJ126" s="115"/>
      <c r="AK126" s="287"/>
      <c r="AL126"/>
      <c r="AM126" s="8"/>
      <c r="AP126" s="9"/>
      <c r="AQ126" s="9"/>
      <c r="AR126" s="9"/>
    </row>
    <row r="127" spans="1:44">
      <c r="A127" s="1">
        <v>120</v>
      </c>
      <c r="B127" s="102" t="str">
        <f t="shared" si="67"/>
        <v>120 - Zwergrind - Kalbinnen - Gülle</v>
      </c>
      <c r="C127" s="338" t="s">
        <v>323</v>
      </c>
      <c r="D127" s="99">
        <v>29.45</v>
      </c>
      <c r="E127" s="99"/>
      <c r="F127" s="99"/>
      <c r="G127" s="99"/>
      <c r="H127" s="354"/>
      <c r="I127" s="355">
        <v>3.8250000000000002</v>
      </c>
      <c r="J127" s="99">
        <v>0</v>
      </c>
      <c r="K127" s="101">
        <v>0</v>
      </c>
      <c r="L127" s="107">
        <v>0.5</v>
      </c>
      <c r="M127" s="108">
        <v>1</v>
      </c>
      <c r="N127" s="355">
        <v>12.75</v>
      </c>
      <c r="O127" s="15">
        <v>0</v>
      </c>
      <c r="P127" s="15">
        <v>0</v>
      </c>
      <c r="Q127" s="100">
        <v>0</v>
      </c>
      <c r="R127" s="356">
        <v>0</v>
      </c>
      <c r="S127" s="98">
        <v>52.1</v>
      </c>
      <c r="T127" s="100">
        <v>0</v>
      </c>
      <c r="U127" s="100">
        <v>0</v>
      </c>
      <c r="V127" s="100">
        <v>0</v>
      </c>
      <c r="W127" s="356">
        <v>0</v>
      </c>
      <c r="X127" s="118"/>
      <c r="Y127" s="119"/>
      <c r="Z127" s="119"/>
      <c r="AA127" s="120"/>
      <c r="AB127" s="119"/>
      <c r="AC127" s="119"/>
      <c r="AD127" s="119"/>
      <c r="AE127" s="120"/>
      <c r="AF127" s="107"/>
      <c r="AG127" s="15"/>
      <c r="AH127" s="108"/>
      <c r="AI127" s="113" t="s">
        <v>323</v>
      </c>
      <c r="AJ127" s="115"/>
      <c r="AK127" s="287"/>
      <c r="AL127"/>
      <c r="AM127" s="8"/>
      <c r="AP127" s="9"/>
      <c r="AQ127" s="9"/>
      <c r="AR127" s="9"/>
    </row>
    <row r="128" spans="1:44">
      <c r="A128" s="1">
        <v>121</v>
      </c>
      <c r="B128" s="102" t="str">
        <f t="shared" si="67"/>
        <v>121 - Zwergrind - Kalbinnen - Mist/Jauche</v>
      </c>
      <c r="C128" s="338" t="s">
        <v>324</v>
      </c>
      <c r="D128" s="99"/>
      <c r="E128" s="99"/>
      <c r="F128" s="99"/>
      <c r="G128" s="99">
        <v>12.1</v>
      </c>
      <c r="H128" s="354">
        <v>12.15</v>
      </c>
      <c r="I128" s="355">
        <v>0</v>
      </c>
      <c r="J128" s="99">
        <v>1.9</v>
      </c>
      <c r="K128" s="101">
        <v>1.9</v>
      </c>
      <c r="L128" s="107">
        <v>0.5</v>
      </c>
      <c r="M128" s="108">
        <v>1</v>
      </c>
      <c r="N128" s="355">
        <v>0</v>
      </c>
      <c r="O128" s="15">
        <v>0</v>
      </c>
      <c r="P128" s="15">
        <v>0</v>
      </c>
      <c r="Q128" s="100">
        <v>0.63750000000000007</v>
      </c>
      <c r="R128" s="356">
        <v>12.112500000000001</v>
      </c>
      <c r="S128" s="98">
        <v>0</v>
      </c>
      <c r="T128" s="100">
        <v>0</v>
      </c>
      <c r="U128" s="100">
        <v>0</v>
      </c>
      <c r="V128" s="100">
        <v>17.193000000000001</v>
      </c>
      <c r="W128" s="356">
        <v>34.906999999999996</v>
      </c>
      <c r="X128" s="118"/>
      <c r="Y128" s="119"/>
      <c r="Z128" s="119"/>
      <c r="AA128" s="120"/>
      <c r="AB128" s="119"/>
      <c r="AC128" s="119"/>
      <c r="AD128" s="119"/>
      <c r="AE128" s="120"/>
      <c r="AF128" s="107"/>
      <c r="AG128" s="15"/>
      <c r="AH128" s="108"/>
      <c r="AI128" s="113" t="s">
        <v>324</v>
      </c>
      <c r="AJ128" s="115"/>
      <c r="AK128" s="287"/>
      <c r="AL128"/>
      <c r="AM128" s="8"/>
      <c r="AP128" s="9"/>
      <c r="AQ128" s="9"/>
      <c r="AR128" s="9"/>
    </row>
    <row r="129" spans="1:44">
      <c r="A129" s="1">
        <v>122</v>
      </c>
      <c r="B129" s="102" t="str">
        <f t="shared" si="67"/>
        <v>122 - Zwergrind - Kalbinnen - Tiefstallmist</v>
      </c>
      <c r="C129" s="338" t="s">
        <v>325</v>
      </c>
      <c r="D129" s="99"/>
      <c r="E129" s="99"/>
      <c r="F129" s="99"/>
      <c r="G129" s="99"/>
      <c r="H129" s="354">
        <v>24.25</v>
      </c>
      <c r="I129" s="355">
        <v>0</v>
      </c>
      <c r="J129" s="99">
        <v>0</v>
      </c>
      <c r="K129" s="101">
        <v>4.0999999999999996</v>
      </c>
      <c r="L129" s="107">
        <v>0.5</v>
      </c>
      <c r="M129" s="108">
        <v>1</v>
      </c>
      <c r="N129" s="355">
        <v>0</v>
      </c>
      <c r="O129" s="15">
        <v>0</v>
      </c>
      <c r="P129" s="15">
        <v>0</v>
      </c>
      <c r="Q129" s="100">
        <v>0</v>
      </c>
      <c r="R129" s="356">
        <v>12.75</v>
      </c>
      <c r="S129" s="98">
        <v>0</v>
      </c>
      <c r="T129" s="100">
        <v>0</v>
      </c>
      <c r="U129" s="100">
        <v>0</v>
      </c>
      <c r="V129" s="100">
        <v>0</v>
      </c>
      <c r="W129" s="356">
        <v>52.1</v>
      </c>
      <c r="X129" s="118"/>
      <c r="Y129" s="119"/>
      <c r="Z129" s="119"/>
      <c r="AA129" s="120"/>
      <c r="AB129" s="119"/>
      <c r="AC129" s="119"/>
      <c r="AD129" s="119"/>
      <c r="AE129" s="120"/>
      <c r="AF129" s="107"/>
      <c r="AG129" s="15"/>
      <c r="AH129" s="108"/>
      <c r="AI129" s="113" t="s">
        <v>325</v>
      </c>
      <c r="AJ129" s="115"/>
      <c r="AK129" s="287"/>
      <c r="AL129"/>
      <c r="AM129" s="8"/>
      <c r="AP129" s="9"/>
      <c r="AQ129" s="9"/>
      <c r="AR129" s="9"/>
    </row>
    <row r="130" spans="1:44">
      <c r="A130" s="1">
        <v>123</v>
      </c>
      <c r="B130" s="102" t="str">
        <f t="shared" si="67"/>
        <v>123 - Zwergrind - Milch- bzw. Mutterkühe (3000 kg Milch)  - Gülle</v>
      </c>
      <c r="C130" s="338" t="s">
        <v>326</v>
      </c>
      <c r="D130" s="99">
        <v>29.55</v>
      </c>
      <c r="E130" s="99"/>
      <c r="F130" s="99"/>
      <c r="G130" s="99"/>
      <c r="H130" s="354"/>
      <c r="I130" s="355">
        <v>5.625</v>
      </c>
      <c r="J130" s="99">
        <v>0</v>
      </c>
      <c r="K130" s="101">
        <v>0</v>
      </c>
      <c r="L130" s="107">
        <v>0.5</v>
      </c>
      <c r="M130" s="108">
        <v>1</v>
      </c>
      <c r="N130" s="355">
        <v>9.5</v>
      </c>
      <c r="O130" s="15">
        <v>0</v>
      </c>
      <c r="P130" s="15">
        <v>0</v>
      </c>
      <c r="Q130" s="100">
        <v>0</v>
      </c>
      <c r="R130" s="356">
        <v>0</v>
      </c>
      <c r="S130" s="98">
        <v>59.55</v>
      </c>
      <c r="T130" s="100">
        <v>0</v>
      </c>
      <c r="U130" s="100">
        <v>0</v>
      </c>
      <c r="V130" s="100">
        <v>0</v>
      </c>
      <c r="W130" s="356">
        <v>0</v>
      </c>
      <c r="X130" s="118"/>
      <c r="Y130" s="119"/>
      <c r="Z130" s="119"/>
      <c r="AA130" s="120"/>
      <c r="AB130" s="119"/>
      <c r="AC130" s="119"/>
      <c r="AD130" s="119"/>
      <c r="AE130" s="120"/>
      <c r="AF130" s="107"/>
      <c r="AG130" s="15"/>
      <c r="AH130" s="108"/>
      <c r="AI130" s="113" t="s">
        <v>326</v>
      </c>
      <c r="AJ130" s="115"/>
      <c r="AK130" s="287"/>
      <c r="AL130"/>
      <c r="AM130" s="8"/>
      <c r="AP130" s="9"/>
      <c r="AQ130" s="9"/>
      <c r="AR130" s="9"/>
    </row>
    <row r="131" spans="1:44">
      <c r="A131" s="1">
        <v>124</v>
      </c>
      <c r="B131" s="102" t="str">
        <f t="shared" si="67"/>
        <v>124 - Zwergrind - Milch- bzw. Mutterkühe (3000 kg Milch)  - Mist / Jauche</v>
      </c>
      <c r="C131" s="338" t="s">
        <v>327</v>
      </c>
      <c r="D131" s="99"/>
      <c r="E131" s="99"/>
      <c r="F131" s="99"/>
      <c r="G131" s="99">
        <v>8.1</v>
      </c>
      <c r="H131" s="354">
        <v>16.25</v>
      </c>
      <c r="I131" s="355">
        <v>0</v>
      </c>
      <c r="J131" s="99">
        <v>1.85</v>
      </c>
      <c r="K131" s="101">
        <v>3.6</v>
      </c>
      <c r="L131" s="107">
        <v>0.5</v>
      </c>
      <c r="M131" s="108">
        <v>1</v>
      </c>
      <c r="N131" s="355">
        <v>0</v>
      </c>
      <c r="O131" s="15">
        <v>0</v>
      </c>
      <c r="P131" s="15">
        <v>0</v>
      </c>
      <c r="Q131" s="100">
        <v>0.47500000000000003</v>
      </c>
      <c r="R131" s="356">
        <v>9.0250000000000004</v>
      </c>
      <c r="S131" s="98">
        <v>0</v>
      </c>
      <c r="T131" s="100">
        <v>0</v>
      </c>
      <c r="U131" s="100">
        <v>0</v>
      </c>
      <c r="V131" s="100">
        <v>19.651499999999999</v>
      </c>
      <c r="W131" s="356">
        <v>39.898499999999999</v>
      </c>
      <c r="X131" s="118"/>
      <c r="Y131" s="119"/>
      <c r="Z131" s="119"/>
      <c r="AA131" s="120"/>
      <c r="AB131" s="119"/>
      <c r="AC131" s="119"/>
      <c r="AD131" s="119"/>
      <c r="AE131" s="120"/>
      <c r="AF131" s="107"/>
      <c r="AG131" s="15"/>
      <c r="AH131" s="108"/>
      <c r="AI131" s="113" t="s">
        <v>327</v>
      </c>
      <c r="AJ131" s="115"/>
      <c r="AK131" s="287"/>
      <c r="AL131"/>
      <c r="AM131" s="8"/>
      <c r="AP131" s="9"/>
      <c r="AQ131" s="9"/>
      <c r="AR131" s="9"/>
    </row>
    <row r="132" spans="1:44">
      <c r="A132" s="1">
        <v>125</v>
      </c>
      <c r="B132" s="102" t="str">
        <f t="shared" si="67"/>
        <v>125 - Zwergrind - Milch- bzw. Mutterkühe (3000 kg Milch)  - Tiefstallmist</v>
      </c>
      <c r="C132" s="338" t="s">
        <v>328</v>
      </c>
      <c r="D132" s="99"/>
      <c r="E132" s="99"/>
      <c r="F132" s="99"/>
      <c r="G132" s="99"/>
      <c r="H132" s="354">
        <v>24.35</v>
      </c>
      <c r="I132" s="355">
        <v>0</v>
      </c>
      <c r="J132" s="99">
        <v>0</v>
      </c>
      <c r="K132" s="101">
        <v>5.8</v>
      </c>
      <c r="L132" s="107">
        <v>0.5</v>
      </c>
      <c r="M132" s="108">
        <v>1</v>
      </c>
      <c r="N132" s="355">
        <v>0</v>
      </c>
      <c r="O132" s="15">
        <v>0</v>
      </c>
      <c r="P132" s="15">
        <v>0</v>
      </c>
      <c r="Q132" s="100">
        <v>0</v>
      </c>
      <c r="R132" s="356">
        <v>9.5</v>
      </c>
      <c r="S132" s="98">
        <v>0</v>
      </c>
      <c r="T132" s="100">
        <v>0</v>
      </c>
      <c r="U132" s="100">
        <v>0</v>
      </c>
      <c r="V132" s="100">
        <v>0</v>
      </c>
      <c r="W132" s="356">
        <v>59.55</v>
      </c>
      <c r="X132" s="118"/>
      <c r="Y132" s="119"/>
      <c r="Z132" s="119"/>
      <c r="AA132" s="120"/>
      <c r="AB132" s="119"/>
      <c r="AC132" s="119"/>
      <c r="AD132" s="119"/>
      <c r="AE132" s="120"/>
      <c r="AF132" s="107"/>
      <c r="AG132" s="15"/>
      <c r="AH132" s="108"/>
      <c r="AI132" s="113" t="s">
        <v>328</v>
      </c>
      <c r="AJ132" s="115"/>
      <c r="AK132" s="287"/>
      <c r="AL132"/>
      <c r="AM132" s="8"/>
      <c r="AP132" s="9"/>
      <c r="AQ132" s="9"/>
      <c r="AR132" s="9"/>
    </row>
    <row r="133" spans="1:44">
      <c r="A133" s="1">
        <v>126</v>
      </c>
      <c r="B133" s="102" t="str">
        <f t="shared" si="67"/>
        <v>126 - Zwergrind - Milch- bzw. Ammenkühe (4000 kg Milch)  - Gülle</v>
      </c>
      <c r="C133" s="338" t="s">
        <v>329</v>
      </c>
      <c r="D133" s="99">
        <v>33.35</v>
      </c>
      <c r="E133" s="99"/>
      <c r="F133" s="99"/>
      <c r="G133" s="99"/>
      <c r="H133" s="354"/>
      <c r="I133" s="355">
        <v>5.625</v>
      </c>
      <c r="J133" s="99">
        <v>0</v>
      </c>
      <c r="K133" s="101">
        <v>0</v>
      </c>
      <c r="L133" s="107">
        <v>0.5</v>
      </c>
      <c r="M133" s="108">
        <v>1</v>
      </c>
      <c r="N133" s="355">
        <v>11.8</v>
      </c>
      <c r="O133" s="15">
        <v>0</v>
      </c>
      <c r="P133" s="15">
        <v>0</v>
      </c>
      <c r="Q133" s="100">
        <v>0</v>
      </c>
      <c r="R133" s="356">
        <v>0</v>
      </c>
      <c r="S133" s="98">
        <v>67</v>
      </c>
      <c r="T133" s="100">
        <v>0</v>
      </c>
      <c r="U133" s="100">
        <v>0</v>
      </c>
      <c r="V133" s="100">
        <v>0</v>
      </c>
      <c r="W133" s="356">
        <v>0</v>
      </c>
      <c r="X133" s="118"/>
      <c r="Y133" s="119"/>
      <c r="Z133" s="119"/>
      <c r="AA133" s="120"/>
      <c r="AB133" s="119"/>
      <c r="AC133" s="119"/>
      <c r="AD133" s="119"/>
      <c r="AE133" s="120"/>
      <c r="AF133" s="107"/>
      <c r="AG133" s="15"/>
      <c r="AH133" s="108"/>
      <c r="AI133" s="113" t="s">
        <v>329</v>
      </c>
      <c r="AJ133" s="115"/>
      <c r="AK133" s="287"/>
      <c r="AL133"/>
      <c r="AM133" s="8"/>
      <c r="AP133" s="9"/>
      <c r="AQ133" s="9"/>
      <c r="AR133" s="9"/>
    </row>
    <row r="134" spans="1:44">
      <c r="A134" s="1">
        <v>127</v>
      </c>
      <c r="B134" s="102" t="str">
        <f t="shared" si="67"/>
        <v>127 - Zwergrind - Milch- bzw. Ammenkühe (4000 kg Milch)  - Mist / Jauche</v>
      </c>
      <c r="C134" s="338" t="s">
        <v>330</v>
      </c>
      <c r="D134" s="99"/>
      <c r="E134" s="99"/>
      <c r="F134" s="99"/>
      <c r="G134" s="99">
        <v>9.1999999999999993</v>
      </c>
      <c r="H134" s="354">
        <v>18.3</v>
      </c>
      <c r="I134" s="355">
        <v>0</v>
      </c>
      <c r="J134" s="99">
        <v>1.85</v>
      </c>
      <c r="K134" s="101">
        <v>3.6</v>
      </c>
      <c r="L134" s="107">
        <v>0.5</v>
      </c>
      <c r="M134" s="108">
        <v>1</v>
      </c>
      <c r="N134" s="355">
        <v>0</v>
      </c>
      <c r="O134" s="15">
        <v>0</v>
      </c>
      <c r="P134" s="15">
        <v>0</v>
      </c>
      <c r="Q134" s="100">
        <v>0.59</v>
      </c>
      <c r="R134" s="356">
        <v>11.21</v>
      </c>
      <c r="S134" s="98">
        <v>0</v>
      </c>
      <c r="T134" s="100">
        <v>0</v>
      </c>
      <c r="U134" s="100">
        <v>0</v>
      </c>
      <c r="V134" s="100">
        <v>22.11</v>
      </c>
      <c r="W134" s="356">
        <v>44.89</v>
      </c>
      <c r="X134" s="118"/>
      <c r="Y134" s="119"/>
      <c r="Z134" s="119"/>
      <c r="AA134" s="120"/>
      <c r="AB134" s="119"/>
      <c r="AC134" s="119"/>
      <c r="AD134" s="119"/>
      <c r="AE134" s="120"/>
      <c r="AF134" s="107"/>
      <c r="AG134" s="15"/>
      <c r="AH134" s="108"/>
      <c r="AI134" s="113" t="s">
        <v>330</v>
      </c>
      <c r="AJ134" s="115"/>
      <c r="AK134" s="287"/>
      <c r="AL134"/>
      <c r="AM134" s="8"/>
      <c r="AP134" s="9"/>
      <c r="AQ134" s="9"/>
      <c r="AR134" s="9"/>
    </row>
    <row r="135" spans="1:44">
      <c r="A135" s="1">
        <v>128</v>
      </c>
      <c r="B135" s="102" t="str">
        <f t="shared" si="67"/>
        <v>128 - Zwergrind - Milch- bzw. Ammenkühe (4000 kg Milch)  - Tiefstallmist</v>
      </c>
      <c r="C135" s="338" t="s">
        <v>331</v>
      </c>
      <c r="D135" s="99"/>
      <c r="E135" s="99"/>
      <c r="F135" s="99"/>
      <c r="G135" s="99"/>
      <c r="H135" s="354">
        <v>27.5</v>
      </c>
      <c r="I135" s="355">
        <v>0</v>
      </c>
      <c r="J135" s="99">
        <v>0</v>
      </c>
      <c r="K135" s="101">
        <v>5.8</v>
      </c>
      <c r="L135" s="107">
        <v>0.5</v>
      </c>
      <c r="M135" s="108">
        <v>1</v>
      </c>
      <c r="N135" s="355">
        <v>0</v>
      </c>
      <c r="O135" s="15">
        <v>0</v>
      </c>
      <c r="P135" s="15">
        <v>0</v>
      </c>
      <c r="Q135" s="100">
        <v>0</v>
      </c>
      <c r="R135" s="356">
        <v>11.8</v>
      </c>
      <c r="S135" s="98">
        <v>0</v>
      </c>
      <c r="T135" s="100">
        <v>0</v>
      </c>
      <c r="U135" s="100">
        <v>0</v>
      </c>
      <c r="V135" s="100">
        <v>0</v>
      </c>
      <c r="W135" s="356">
        <v>67</v>
      </c>
      <c r="X135" s="118"/>
      <c r="Y135" s="119"/>
      <c r="Z135" s="119"/>
      <c r="AA135" s="120"/>
      <c r="AB135" s="119"/>
      <c r="AC135" s="119"/>
      <c r="AD135" s="119"/>
      <c r="AE135" s="120"/>
      <c r="AF135" s="107"/>
      <c r="AG135" s="15"/>
      <c r="AH135" s="108"/>
      <c r="AI135" s="113" t="s">
        <v>331</v>
      </c>
      <c r="AJ135" s="115"/>
      <c r="AK135" s="287"/>
      <c r="AL135"/>
      <c r="AM135" s="8"/>
      <c r="AP135" s="9"/>
      <c r="AQ135" s="9"/>
      <c r="AR135" s="9"/>
    </row>
    <row r="136" spans="1:44">
      <c r="A136" s="1">
        <v>129</v>
      </c>
      <c r="B136" s="102" t="str">
        <f t="shared" si="67"/>
        <v>129 - Zwergrind - Milchkühe (5000 kg Milch) - Gülle</v>
      </c>
      <c r="C136" s="338" t="s">
        <v>332</v>
      </c>
      <c r="D136" s="99">
        <v>37.200000000000003</v>
      </c>
      <c r="E136" s="99"/>
      <c r="F136" s="99"/>
      <c r="G136" s="99"/>
      <c r="H136" s="354"/>
      <c r="I136" s="355">
        <v>5.75</v>
      </c>
      <c r="J136" s="99">
        <v>0</v>
      </c>
      <c r="K136" s="101">
        <v>0</v>
      </c>
      <c r="L136" s="107">
        <v>0.5</v>
      </c>
      <c r="M136" s="108">
        <v>1</v>
      </c>
      <c r="N136" s="355">
        <v>14.1</v>
      </c>
      <c r="O136" s="15">
        <v>0</v>
      </c>
      <c r="P136" s="15">
        <v>0</v>
      </c>
      <c r="Q136" s="100">
        <v>0</v>
      </c>
      <c r="R136" s="356">
        <v>0</v>
      </c>
      <c r="S136" s="98">
        <v>74.45</v>
      </c>
      <c r="T136" s="100">
        <v>0</v>
      </c>
      <c r="U136" s="100">
        <v>0</v>
      </c>
      <c r="V136" s="100">
        <v>0</v>
      </c>
      <c r="W136" s="356">
        <v>0</v>
      </c>
      <c r="X136" s="118"/>
      <c r="Y136" s="119"/>
      <c r="Z136" s="119"/>
      <c r="AA136" s="120"/>
      <c r="AB136" s="119"/>
      <c r="AC136" s="119"/>
      <c r="AD136" s="119"/>
      <c r="AE136" s="120"/>
      <c r="AF136" s="107"/>
      <c r="AG136" s="15"/>
      <c r="AH136" s="108"/>
      <c r="AI136" s="113" t="s">
        <v>332</v>
      </c>
      <c r="AJ136" s="115"/>
      <c r="AK136" s="287"/>
      <c r="AL136"/>
      <c r="AM136" s="8"/>
      <c r="AP136" s="9"/>
      <c r="AQ136" s="9"/>
      <c r="AR136" s="9"/>
    </row>
    <row r="137" spans="1:44">
      <c r="A137" s="1">
        <v>130</v>
      </c>
      <c r="B137" s="102" t="str">
        <f t="shared" si="67"/>
        <v>130 - Zwergrind - Milchkühe (5000 kg Milch) - Mist/Jauche</v>
      </c>
      <c r="C137" s="338" t="s">
        <v>333</v>
      </c>
      <c r="D137" s="99"/>
      <c r="E137" s="99"/>
      <c r="F137" s="99"/>
      <c r="G137" s="99">
        <v>10.199999999999999</v>
      </c>
      <c r="H137" s="354">
        <v>20.45</v>
      </c>
      <c r="I137" s="355">
        <v>0</v>
      </c>
      <c r="J137" s="99">
        <v>1.9</v>
      </c>
      <c r="K137" s="101">
        <v>3.7</v>
      </c>
      <c r="L137" s="107">
        <v>0.5</v>
      </c>
      <c r="M137" s="108">
        <v>1</v>
      </c>
      <c r="N137" s="355">
        <v>0</v>
      </c>
      <c r="O137" s="15">
        <v>0</v>
      </c>
      <c r="P137" s="15">
        <v>0</v>
      </c>
      <c r="Q137" s="100">
        <v>0.70499999999999996</v>
      </c>
      <c r="R137" s="356">
        <v>13.395</v>
      </c>
      <c r="S137" s="98">
        <v>0</v>
      </c>
      <c r="T137" s="100">
        <v>0</v>
      </c>
      <c r="U137" s="100">
        <v>0</v>
      </c>
      <c r="V137" s="100">
        <v>24.5685</v>
      </c>
      <c r="W137" s="356">
        <v>49.881500000000003</v>
      </c>
      <c r="X137" s="118"/>
      <c r="Y137" s="119"/>
      <c r="Z137" s="119"/>
      <c r="AA137" s="120"/>
      <c r="AB137" s="119"/>
      <c r="AC137" s="119"/>
      <c r="AD137" s="119"/>
      <c r="AE137" s="120"/>
      <c r="AF137" s="107"/>
      <c r="AG137" s="15"/>
      <c r="AH137" s="108"/>
      <c r="AI137" s="113" t="s">
        <v>333</v>
      </c>
      <c r="AJ137" s="115"/>
      <c r="AK137" s="287"/>
      <c r="AL137"/>
      <c r="AM137" s="8"/>
      <c r="AP137" s="9"/>
      <c r="AQ137" s="9"/>
      <c r="AR137" s="9"/>
    </row>
    <row r="138" spans="1:44">
      <c r="A138" s="1">
        <v>131</v>
      </c>
      <c r="B138" s="102" t="str">
        <f t="shared" si="67"/>
        <v>131 - Zwergrind - Milchkühe (5000 kg Milch) - Tiefstallmist</v>
      </c>
      <c r="C138" s="338" t="s">
        <v>334</v>
      </c>
      <c r="D138" s="99"/>
      <c r="E138" s="99"/>
      <c r="F138" s="99"/>
      <c r="G138" s="99"/>
      <c r="H138" s="354">
        <v>30.65</v>
      </c>
      <c r="I138" s="355">
        <v>0</v>
      </c>
      <c r="J138" s="99">
        <v>0</v>
      </c>
      <c r="K138" s="101">
        <v>5.95</v>
      </c>
      <c r="L138" s="107">
        <v>0.5</v>
      </c>
      <c r="M138" s="108">
        <v>1</v>
      </c>
      <c r="N138" s="355">
        <v>0</v>
      </c>
      <c r="O138" s="15">
        <v>0</v>
      </c>
      <c r="P138" s="15">
        <v>0</v>
      </c>
      <c r="Q138" s="100">
        <v>0</v>
      </c>
      <c r="R138" s="356">
        <v>14.1</v>
      </c>
      <c r="S138" s="98">
        <v>0</v>
      </c>
      <c r="T138" s="100">
        <v>0</v>
      </c>
      <c r="U138" s="100">
        <v>0</v>
      </c>
      <c r="V138" s="100">
        <v>0</v>
      </c>
      <c r="W138" s="356">
        <v>74.45</v>
      </c>
      <c r="X138" s="118"/>
      <c r="Y138" s="119"/>
      <c r="Z138" s="119"/>
      <c r="AA138" s="120"/>
      <c r="AB138" s="119"/>
      <c r="AC138" s="119"/>
      <c r="AD138" s="119"/>
      <c r="AE138" s="120"/>
      <c r="AF138" s="107"/>
      <c r="AG138" s="15"/>
      <c r="AH138" s="108"/>
      <c r="AI138" s="113" t="s">
        <v>334</v>
      </c>
      <c r="AJ138" s="115"/>
      <c r="AK138" s="287"/>
      <c r="AL138"/>
      <c r="AM138" s="8"/>
      <c r="AP138" s="9"/>
      <c r="AQ138" s="9"/>
      <c r="AR138" s="9"/>
    </row>
    <row r="139" spans="1:44">
      <c r="A139" s="1">
        <v>132</v>
      </c>
      <c r="B139" s="102" t="str">
        <f t="shared" si="67"/>
        <v>132 - Zwergrind - Milchkühe (6000 kg Milch) - Gülle</v>
      </c>
      <c r="C139" s="338" t="s">
        <v>335</v>
      </c>
      <c r="D139" s="99">
        <v>41</v>
      </c>
      <c r="E139" s="99"/>
      <c r="F139" s="99"/>
      <c r="G139" s="99"/>
      <c r="H139" s="354"/>
      <c r="I139" s="355">
        <v>5.9</v>
      </c>
      <c r="J139" s="99">
        <v>0</v>
      </c>
      <c r="K139" s="101">
        <v>0</v>
      </c>
      <c r="L139" s="107">
        <v>0.5</v>
      </c>
      <c r="M139" s="108">
        <v>1</v>
      </c>
      <c r="N139" s="355">
        <v>16.399999999999999</v>
      </c>
      <c r="O139" s="15">
        <v>0</v>
      </c>
      <c r="P139" s="15">
        <v>0</v>
      </c>
      <c r="Q139" s="100">
        <v>0</v>
      </c>
      <c r="R139" s="356">
        <v>0</v>
      </c>
      <c r="S139" s="98">
        <v>81.900000000000006</v>
      </c>
      <c r="T139" s="100">
        <v>0</v>
      </c>
      <c r="U139" s="100">
        <v>0</v>
      </c>
      <c r="V139" s="100">
        <v>0</v>
      </c>
      <c r="W139" s="356">
        <v>0</v>
      </c>
      <c r="X139" s="118"/>
      <c r="Y139" s="119"/>
      <c r="Z139" s="119"/>
      <c r="AA139" s="120"/>
      <c r="AB139" s="119"/>
      <c r="AC139" s="119"/>
      <c r="AD139" s="119"/>
      <c r="AE139" s="120"/>
      <c r="AF139" s="107"/>
      <c r="AG139" s="15"/>
      <c r="AH139" s="108"/>
      <c r="AI139" s="113" t="s">
        <v>335</v>
      </c>
      <c r="AJ139" s="115"/>
      <c r="AK139" s="287"/>
      <c r="AL139"/>
      <c r="AM139" s="8"/>
      <c r="AP139" s="9"/>
      <c r="AQ139" s="9"/>
      <c r="AR139" s="9"/>
    </row>
    <row r="140" spans="1:44">
      <c r="A140" s="1">
        <v>133</v>
      </c>
      <c r="B140" s="102" t="str">
        <f t="shared" si="67"/>
        <v>133 - Zwergrind - Milchkühe (6000 kg Milch) - Mist/Jauche</v>
      </c>
      <c r="C140" s="338" t="s">
        <v>336</v>
      </c>
      <c r="D140" s="99"/>
      <c r="E140" s="99"/>
      <c r="F140" s="99"/>
      <c r="G140" s="99">
        <v>11.25</v>
      </c>
      <c r="H140" s="354">
        <v>22.55</v>
      </c>
      <c r="I140" s="355">
        <v>0</v>
      </c>
      <c r="J140" s="99">
        <v>1.9500000000000002</v>
      </c>
      <c r="K140" s="101">
        <v>3.8</v>
      </c>
      <c r="L140" s="107">
        <v>0.5</v>
      </c>
      <c r="M140" s="108">
        <v>1</v>
      </c>
      <c r="N140" s="355">
        <v>0</v>
      </c>
      <c r="O140" s="15">
        <v>0</v>
      </c>
      <c r="P140" s="15">
        <v>0</v>
      </c>
      <c r="Q140" s="100">
        <v>0.82</v>
      </c>
      <c r="R140" s="356">
        <v>15.58</v>
      </c>
      <c r="S140" s="98">
        <v>0</v>
      </c>
      <c r="T140" s="100">
        <v>0</v>
      </c>
      <c r="U140" s="100">
        <v>0</v>
      </c>
      <c r="V140" s="100">
        <v>27.027000000000001</v>
      </c>
      <c r="W140" s="356">
        <v>54.872999999999998</v>
      </c>
      <c r="X140" s="118"/>
      <c r="Y140" s="119"/>
      <c r="Z140" s="119"/>
      <c r="AA140" s="120"/>
      <c r="AB140" s="119"/>
      <c r="AC140" s="119"/>
      <c r="AD140" s="119"/>
      <c r="AE140" s="120"/>
      <c r="AF140" s="107"/>
      <c r="AG140" s="15"/>
      <c r="AH140" s="108"/>
      <c r="AI140" s="113" t="s">
        <v>336</v>
      </c>
      <c r="AJ140" s="115"/>
      <c r="AK140" s="287"/>
      <c r="AL140"/>
      <c r="AM140" s="8"/>
      <c r="AP140" s="9"/>
      <c r="AQ140" s="9"/>
      <c r="AR140" s="9"/>
    </row>
    <row r="141" spans="1:44">
      <c r="A141" s="1">
        <v>134</v>
      </c>
      <c r="B141" s="102" t="str">
        <f t="shared" si="67"/>
        <v>134 - Zwergrind - Milchkühe (6000 kg Milch) - Tiefstallmist</v>
      </c>
      <c r="C141" s="338" t="s">
        <v>337</v>
      </c>
      <c r="D141" s="99"/>
      <c r="E141" s="99"/>
      <c r="F141" s="99"/>
      <c r="G141" s="99"/>
      <c r="H141" s="354">
        <v>33.799999999999997</v>
      </c>
      <c r="I141" s="355">
        <v>0</v>
      </c>
      <c r="J141" s="99">
        <v>0</v>
      </c>
      <c r="K141" s="101">
        <v>6.05</v>
      </c>
      <c r="L141" s="107">
        <v>0.5</v>
      </c>
      <c r="M141" s="108">
        <v>1</v>
      </c>
      <c r="N141" s="355">
        <v>0</v>
      </c>
      <c r="O141" s="15">
        <v>0</v>
      </c>
      <c r="P141" s="15">
        <v>0</v>
      </c>
      <c r="Q141" s="100">
        <v>0</v>
      </c>
      <c r="R141" s="356">
        <v>16.399999999999999</v>
      </c>
      <c r="S141" s="98">
        <v>0</v>
      </c>
      <c r="T141" s="100">
        <v>0</v>
      </c>
      <c r="U141" s="100">
        <v>0</v>
      </c>
      <c r="V141" s="100">
        <v>0</v>
      </c>
      <c r="W141" s="356">
        <v>81.900000000000006</v>
      </c>
      <c r="X141" s="118"/>
      <c r="Y141" s="119"/>
      <c r="Z141" s="119"/>
      <c r="AA141" s="120"/>
      <c r="AB141" s="119"/>
      <c r="AC141" s="119"/>
      <c r="AD141" s="119"/>
      <c r="AE141" s="120"/>
      <c r="AF141" s="107"/>
      <c r="AG141" s="15"/>
      <c r="AH141" s="108"/>
      <c r="AI141" s="113" t="s">
        <v>337</v>
      </c>
      <c r="AJ141" s="115"/>
      <c r="AK141" s="287"/>
      <c r="AL141"/>
      <c r="AM141" s="8"/>
      <c r="AP141" s="9"/>
      <c r="AQ141" s="9"/>
      <c r="AR141" s="9"/>
    </row>
    <row r="142" spans="1:44">
      <c r="A142" s="1">
        <v>135</v>
      </c>
      <c r="B142" s="102" t="str">
        <f t="shared" si="67"/>
        <v>135 - Zwergrind - Milchkühe (7000 kg Milch) - Gülle</v>
      </c>
      <c r="C142" s="338" t="s">
        <v>338</v>
      </c>
      <c r="D142" s="99">
        <v>44.85</v>
      </c>
      <c r="E142" s="99"/>
      <c r="F142" s="99"/>
      <c r="G142" s="99"/>
      <c r="H142" s="354"/>
      <c r="I142" s="355">
        <v>5.8250000000000002</v>
      </c>
      <c r="J142" s="99">
        <v>0</v>
      </c>
      <c r="K142" s="101">
        <v>0</v>
      </c>
      <c r="L142" s="107">
        <v>0.5</v>
      </c>
      <c r="M142" s="108">
        <v>1</v>
      </c>
      <c r="N142" s="355">
        <v>18.7</v>
      </c>
      <c r="O142" s="15">
        <v>0</v>
      </c>
      <c r="P142" s="15">
        <v>0</v>
      </c>
      <c r="Q142" s="100">
        <v>0</v>
      </c>
      <c r="R142" s="356">
        <v>0</v>
      </c>
      <c r="S142" s="98">
        <v>89.35</v>
      </c>
      <c r="T142" s="100">
        <v>0</v>
      </c>
      <c r="U142" s="100">
        <v>0</v>
      </c>
      <c r="V142" s="100">
        <v>0</v>
      </c>
      <c r="W142" s="356">
        <v>0</v>
      </c>
      <c r="X142" s="118"/>
      <c r="Y142" s="119"/>
      <c r="Z142" s="119"/>
      <c r="AA142" s="120"/>
      <c r="AB142" s="119"/>
      <c r="AC142" s="119"/>
      <c r="AD142" s="119"/>
      <c r="AE142" s="120"/>
      <c r="AF142" s="107"/>
      <c r="AG142" s="15"/>
      <c r="AH142" s="108"/>
      <c r="AI142" s="113" t="s">
        <v>338</v>
      </c>
      <c r="AJ142" s="115"/>
      <c r="AK142" s="287"/>
      <c r="AL142"/>
      <c r="AM142" s="8"/>
      <c r="AP142" s="9"/>
      <c r="AQ142" s="9"/>
      <c r="AR142" s="9"/>
    </row>
    <row r="143" spans="1:44">
      <c r="A143" s="1">
        <v>136</v>
      </c>
      <c r="B143" s="102" t="str">
        <f t="shared" si="67"/>
        <v>136 - Zwergrind - Milchkühe (7000 kg Milch) - Mist/Jauche</v>
      </c>
      <c r="C143" s="338" t="s">
        <v>339</v>
      </c>
      <c r="D143" s="99"/>
      <c r="E143" s="99"/>
      <c r="F143" s="99"/>
      <c r="G143" s="99">
        <v>12.3</v>
      </c>
      <c r="H143" s="354">
        <v>24.65</v>
      </c>
      <c r="I143" s="355">
        <v>0</v>
      </c>
      <c r="J143" s="99">
        <v>1.925</v>
      </c>
      <c r="K143" s="101">
        <v>3.75</v>
      </c>
      <c r="L143" s="107">
        <v>0.5</v>
      </c>
      <c r="M143" s="108">
        <v>1</v>
      </c>
      <c r="N143" s="355">
        <v>0</v>
      </c>
      <c r="O143" s="15">
        <v>0</v>
      </c>
      <c r="P143" s="15">
        <v>0</v>
      </c>
      <c r="Q143" s="100">
        <v>0.93500000000000005</v>
      </c>
      <c r="R143" s="356">
        <v>17.765000000000001</v>
      </c>
      <c r="S143" s="98">
        <v>0</v>
      </c>
      <c r="T143" s="100">
        <v>0</v>
      </c>
      <c r="U143" s="100">
        <v>0</v>
      </c>
      <c r="V143" s="100">
        <v>29.485500000000002</v>
      </c>
      <c r="W143" s="356">
        <v>59.8645</v>
      </c>
      <c r="X143" s="118"/>
      <c r="Y143" s="119"/>
      <c r="Z143" s="119"/>
      <c r="AA143" s="120"/>
      <c r="AB143" s="119"/>
      <c r="AC143" s="119"/>
      <c r="AD143" s="119"/>
      <c r="AE143" s="120"/>
      <c r="AF143" s="107"/>
      <c r="AG143" s="15"/>
      <c r="AH143" s="108"/>
      <c r="AI143" s="113" t="s">
        <v>339</v>
      </c>
      <c r="AJ143" s="115"/>
      <c r="AK143" s="287"/>
      <c r="AL143"/>
      <c r="AM143" s="8"/>
      <c r="AP143" s="9"/>
      <c r="AQ143" s="9"/>
      <c r="AR143" s="9"/>
    </row>
    <row r="144" spans="1:44">
      <c r="A144" s="1">
        <v>137</v>
      </c>
      <c r="B144" s="102" t="str">
        <f t="shared" si="67"/>
        <v>137 - Zwergrind - Milchkühe (7000 kg Milch) - Tiefstallmist</v>
      </c>
      <c r="C144" s="338" t="s">
        <v>340</v>
      </c>
      <c r="D144" s="99"/>
      <c r="E144" s="99"/>
      <c r="F144" s="99"/>
      <c r="G144" s="99"/>
      <c r="H144" s="354">
        <v>36.950000000000003</v>
      </c>
      <c r="I144" s="355">
        <v>0</v>
      </c>
      <c r="J144" s="99">
        <v>0</v>
      </c>
      <c r="K144" s="101">
        <v>6</v>
      </c>
      <c r="L144" s="107">
        <v>0.5</v>
      </c>
      <c r="M144" s="108">
        <v>1</v>
      </c>
      <c r="N144" s="355">
        <v>0</v>
      </c>
      <c r="O144" s="15">
        <v>0</v>
      </c>
      <c r="P144" s="15">
        <v>0</v>
      </c>
      <c r="Q144" s="100">
        <v>0</v>
      </c>
      <c r="R144" s="356">
        <v>18.7</v>
      </c>
      <c r="S144" s="98">
        <v>0</v>
      </c>
      <c r="T144" s="100">
        <v>0</v>
      </c>
      <c r="U144" s="100">
        <v>0</v>
      </c>
      <c r="V144" s="100">
        <v>0</v>
      </c>
      <c r="W144" s="356">
        <v>89.35</v>
      </c>
      <c r="X144" s="118"/>
      <c r="Y144" s="119"/>
      <c r="Z144" s="119"/>
      <c r="AA144" s="120"/>
      <c r="AB144" s="119"/>
      <c r="AC144" s="119"/>
      <c r="AD144" s="119"/>
      <c r="AE144" s="120"/>
      <c r="AF144" s="107"/>
      <c r="AG144" s="15"/>
      <c r="AH144" s="108"/>
      <c r="AI144" s="113" t="s">
        <v>340</v>
      </c>
      <c r="AJ144" s="115"/>
      <c r="AK144" s="287"/>
      <c r="AL144"/>
      <c r="AM144" s="8"/>
      <c r="AP144" s="9"/>
      <c r="AQ144" s="9"/>
      <c r="AR144" s="9"/>
    </row>
    <row r="145" spans="1:44">
      <c r="A145" s="1">
        <v>138</v>
      </c>
      <c r="B145" s="102" t="str">
        <f t="shared" si="67"/>
        <v>138 - Zwergrind - Milchkühe (8000 kg Milch) - Gülle</v>
      </c>
      <c r="C145" s="338" t="s">
        <v>341</v>
      </c>
      <c r="D145" s="99">
        <v>48.65</v>
      </c>
      <c r="E145" s="99"/>
      <c r="F145" s="99"/>
      <c r="G145" s="99"/>
      <c r="H145" s="354"/>
      <c r="I145" s="355">
        <v>5.9749999999999996</v>
      </c>
      <c r="J145" s="99">
        <v>0</v>
      </c>
      <c r="K145" s="101">
        <v>0</v>
      </c>
      <c r="L145" s="107">
        <v>0.5</v>
      </c>
      <c r="M145" s="108">
        <v>1</v>
      </c>
      <c r="N145" s="355">
        <v>20.95</v>
      </c>
      <c r="O145" s="15">
        <v>0</v>
      </c>
      <c r="P145" s="15">
        <v>0</v>
      </c>
      <c r="Q145" s="100">
        <v>0</v>
      </c>
      <c r="R145" s="356">
        <v>0</v>
      </c>
      <c r="S145" s="98">
        <v>96.8</v>
      </c>
      <c r="T145" s="100">
        <v>0</v>
      </c>
      <c r="U145" s="100">
        <v>0</v>
      </c>
      <c r="V145" s="100">
        <v>0</v>
      </c>
      <c r="W145" s="356">
        <v>0</v>
      </c>
      <c r="X145" s="118"/>
      <c r="Y145" s="119"/>
      <c r="Z145" s="119"/>
      <c r="AA145" s="120"/>
      <c r="AB145" s="119"/>
      <c r="AC145" s="119"/>
      <c r="AD145" s="119"/>
      <c r="AE145" s="120"/>
      <c r="AF145" s="107"/>
      <c r="AG145" s="15"/>
      <c r="AH145" s="108"/>
      <c r="AI145" s="113" t="s">
        <v>341</v>
      </c>
      <c r="AJ145" s="115"/>
      <c r="AK145" s="287"/>
      <c r="AL145"/>
      <c r="AM145" s="8"/>
      <c r="AP145" s="9"/>
      <c r="AQ145" s="9"/>
      <c r="AR145" s="9"/>
    </row>
    <row r="146" spans="1:44">
      <c r="A146" s="1">
        <v>139</v>
      </c>
      <c r="B146" s="102" t="str">
        <f t="shared" si="67"/>
        <v>139 - Zwergrind - Milchkühe (8000 kg Milch) - Mist/Jauche</v>
      </c>
      <c r="C146" s="338" t="s">
        <v>342</v>
      </c>
      <c r="D146" s="99"/>
      <c r="E146" s="99"/>
      <c r="F146" s="99"/>
      <c r="G146" s="99">
        <v>13.35</v>
      </c>
      <c r="H146" s="354">
        <v>26.75</v>
      </c>
      <c r="I146" s="355">
        <v>0</v>
      </c>
      <c r="J146" s="99">
        <v>1.9750000000000001</v>
      </c>
      <c r="K146" s="101">
        <v>3.8</v>
      </c>
      <c r="L146" s="107">
        <v>0.5</v>
      </c>
      <c r="M146" s="108">
        <v>1</v>
      </c>
      <c r="N146" s="355">
        <v>0</v>
      </c>
      <c r="O146" s="15">
        <v>0</v>
      </c>
      <c r="P146" s="15">
        <v>0</v>
      </c>
      <c r="Q146" s="100">
        <v>1.0475000000000001</v>
      </c>
      <c r="R146" s="356">
        <v>19.9025</v>
      </c>
      <c r="S146" s="98">
        <v>0</v>
      </c>
      <c r="T146" s="100">
        <v>0</v>
      </c>
      <c r="U146" s="100">
        <v>0</v>
      </c>
      <c r="V146" s="100">
        <v>31.943999999999999</v>
      </c>
      <c r="W146" s="356">
        <v>64.855999999999995</v>
      </c>
      <c r="X146" s="118"/>
      <c r="Y146" s="119"/>
      <c r="Z146" s="119"/>
      <c r="AA146" s="120"/>
      <c r="AB146" s="119"/>
      <c r="AC146" s="119"/>
      <c r="AD146" s="119"/>
      <c r="AE146" s="120"/>
      <c r="AF146" s="107"/>
      <c r="AG146" s="15"/>
      <c r="AH146" s="108"/>
      <c r="AI146" s="113" t="s">
        <v>342</v>
      </c>
      <c r="AJ146" s="115"/>
      <c r="AK146" s="287"/>
      <c r="AL146"/>
      <c r="AM146" s="8"/>
      <c r="AP146" s="9"/>
      <c r="AQ146" s="9"/>
      <c r="AR146" s="9"/>
    </row>
    <row r="147" spans="1:44">
      <c r="A147" s="1">
        <v>140</v>
      </c>
      <c r="B147" s="102" t="str">
        <f t="shared" si="67"/>
        <v>140 - Zwergrind - Milchkühe (8000 kg Milch) - Tiefstallmist</v>
      </c>
      <c r="C147" s="338" t="s">
        <v>343</v>
      </c>
      <c r="D147" s="99"/>
      <c r="E147" s="99"/>
      <c r="F147" s="99"/>
      <c r="G147" s="99"/>
      <c r="H147" s="354">
        <v>40.1</v>
      </c>
      <c r="I147" s="355">
        <v>0</v>
      </c>
      <c r="J147" s="99">
        <v>0</v>
      </c>
      <c r="K147" s="101">
        <v>6.15</v>
      </c>
      <c r="L147" s="107">
        <v>0.5</v>
      </c>
      <c r="M147" s="108">
        <v>1</v>
      </c>
      <c r="N147" s="355">
        <v>0</v>
      </c>
      <c r="O147" s="15">
        <v>0</v>
      </c>
      <c r="P147" s="15">
        <v>0</v>
      </c>
      <c r="Q147" s="100">
        <v>0</v>
      </c>
      <c r="R147" s="356">
        <v>20.95</v>
      </c>
      <c r="S147" s="98">
        <v>0</v>
      </c>
      <c r="T147" s="100">
        <v>0</v>
      </c>
      <c r="U147" s="100">
        <v>0</v>
      </c>
      <c r="V147" s="100">
        <v>0</v>
      </c>
      <c r="W147" s="356">
        <v>96.8</v>
      </c>
      <c r="X147" s="118"/>
      <c r="Y147" s="119"/>
      <c r="Z147" s="119"/>
      <c r="AA147" s="120"/>
      <c r="AB147" s="119"/>
      <c r="AC147" s="119"/>
      <c r="AD147" s="119"/>
      <c r="AE147" s="120"/>
      <c r="AF147" s="107"/>
      <c r="AG147" s="15"/>
      <c r="AH147" s="108"/>
      <c r="AI147" s="113" t="s">
        <v>343</v>
      </c>
      <c r="AJ147" s="115"/>
      <c r="AK147" s="287"/>
      <c r="AL147"/>
      <c r="AM147" s="8"/>
      <c r="AP147" s="9"/>
      <c r="AQ147" s="9"/>
      <c r="AR147" s="9"/>
    </row>
    <row r="148" spans="1:44">
      <c r="A148" s="1">
        <v>141</v>
      </c>
      <c r="B148" s="102" t="str">
        <f t="shared" si="67"/>
        <v>141 - Zwergrind - Milchkühe (9000 kg Milch) - Gülle</v>
      </c>
      <c r="C148" s="338" t="s">
        <v>344</v>
      </c>
      <c r="D148" s="99">
        <v>52.5</v>
      </c>
      <c r="E148" s="99"/>
      <c r="F148" s="99"/>
      <c r="G148" s="99"/>
      <c r="H148" s="354"/>
      <c r="I148" s="355">
        <v>6.15</v>
      </c>
      <c r="J148" s="99">
        <v>0</v>
      </c>
      <c r="K148" s="101">
        <v>0</v>
      </c>
      <c r="L148" s="107">
        <v>0.5</v>
      </c>
      <c r="M148" s="108">
        <v>1</v>
      </c>
      <c r="N148" s="355">
        <v>23.25</v>
      </c>
      <c r="O148" s="15">
        <v>0</v>
      </c>
      <c r="P148" s="15">
        <v>0</v>
      </c>
      <c r="Q148" s="100">
        <v>0</v>
      </c>
      <c r="R148" s="356">
        <v>0</v>
      </c>
      <c r="S148" s="98">
        <v>104.25</v>
      </c>
      <c r="T148" s="100">
        <v>0</v>
      </c>
      <c r="U148" s="100">
        <v>0</v>
      </c>
      <c r="V148" s="100">
        <v>0</v>
      </c>
      <c r="W148" s="356">
        <v>0</v>
      </c>
      <c r="X148" s="118"/>
      <c r="Y148" s="119"/>
      <c r="Z148" s="119"/>
      <c r="AA148" s="120"/>
      <c r="AB148" s="119"/>
      <c r="AC148" s="119"/>
      <c r="AD148" s="119"/>
      <c r="AE148" s="120"/>
      <c r="AF148" s="107"/>
      <c r="AG148" s="15"/>
      <c r="AH148" s="108"/>
      <c r="AI148" s="113" t="s">
        <v>344</v>
      </c>
      <c r="AJ148" s="115"/>
      <c r="AK148" s="287"/>
      <c r="AL148"/>
      <c r="AM148" s="8"/>
      <c r="AP148" s="9"/>
      <c r="AQ148" s="9"/>
      <c r="AR148" s="9"/>
    </row>
    <row r="149" spans="1:44">
      <c r="A149" s="1">
        <v>142</v>
      </c>
      <c r="B149" s="102" t="str">
        <f t="shared" si="67"/>
        <v>142 - Zwergrind - Milchkühe (9000 kg Milch) - Mist/Jauche</v>
      </c>
      <c r="C149" s="338" t="s">
        <v>345</v>
      </c>
      <c r="D149" s="99"/>
      <c r="E149" s="99"/>
      <c r="F149" s="99"/>
      <c r="G149" s="99">
        <v>14.4</v>
      </c>
      <c r="H149" s="354">
        <v>28.85</v>
      </c>
      <c r="I149" s="355">
        <v>0</v>
      </c>
      <c r="J149" s="99">
        <v>2.0249999999999999</v>
      </c>
      <c r="K149" s="101">
        <v>3.95</v>
      </c>
      <c r="L149" s="107">
        <v>0.5</v>
      </c>
      <c r="M149" s="108">
        <v>1</v>
      </c>
      <c r="N149" s="355">
        <v>0</v>
      </c>
      <c r="O149" s="15">
        <v>0</v>
      </c>
      <c r="P149" s="15">
        <v>0</v>
      </c>
      <c r="Q149" s="100">
        <v>1.1625000000000001</v>
      </c>
      <c r="R149" s="356">
        <v>22.087499999999999</v>
      </c>
      <c r="S149" s="98">
        <v>0</v>
      </c>
      <c r="T149" s="100">
        <v>0</v>
      </c>
      <c r="U149" s="100">
        <v>0</v>
      </c>
      <c r="V149" s="100">
        <v>34.402500000000003</v>
      </c>
      <c r="W149" s="356">
        <v>69.847499999999997</v>
      </c>
      <c r="X149" s="118"/>
      <c r="Y149" s="119"/>
      <c r="Z149" s="119"/>
      <c r="AA149" s="120"/>
      <c r="AB149" s="119"/>
      <c r="AC149" s="119"/>
      <c r="AD149" s="119"/>
      <c r="AE149" s="120"/>
      <c r="AF149" s="107"/>
      <c r="AG149" s="15"/>
      <c r="AH149" s="108"/>
      <c r="AI149" s="113" t="s">
        <v>345</v>
      </c>
      <c r="AJ149" s="115"/>
      <c r="AK149" s="287"/>
      <c r="AL149"/>
      <c r="AM149" s="8"/>
      <c r="AP149" s="9"/>
      <c r="AQ149" s="9"/>
      <c r="AR149" s="9"/>
    </row>
    <row r="150" spans="1:44">
      <c r="A150" s="1">
        <v>143</v>
      </c>
      <c r="B150" s="102" t="str">
        <f t="shared" si="67"/>
        <v>143 - Zwergrind - Milchkühe (9000 kg Milch) - Tiefstallmist</v>
      </c>
      <c r="C150" s="338" t="s">
        <v>346</v>
      </c>
      <c r="D150" s="99"/>
      <c r="E150" s="99"/>
      <c r="F150" s="99"/>
      <c r="G150" s="99"/>
      <c r="H150" s="354">
        <v>43.25</v>
      </c>
      <c r="I150" s="355">
        <v>0</v>
      </c>
      <c r="J150" s="99">
        <v>0</v>
      </c>
      <c r="K150" s="101">
        <v>6.3</v>
      </c>
      <c r="L150" s="107">
        <v>0.5</v>
      </c>
      <c r="M150" s="108">
        <v>1</v>
      </c>
      <c r="N150" s="355">
        <v>0</v>
      </c>
      <c r="O150" s="15">
        <v>0</v>
      </c>
      <c r="P150" s="15">
        <v>0</v>
      </c>
      <c r="Q150" s="100">
        <v>0</v>
      </c>
      <c r="R150" s="356">
        <v>23.25</v>
      </c>
      <c r="S150" s="98">
        <v>0</v>
      </c>
      <c r="T150" s="100">
        <v>0</v>
      </c>
      <c r="U150" s="100">
        <v>0</v>
      </c>
      <c r="V150" s="100">
        <v>0</v>
      </c>
      <c r="W150" s="356">
        <v>104.25</v>
      </c>
      <c r="X150" s="118"/>
      <c r="Y150" s="119"/>
      <c r="Z150" s="119"/>
      <c r="AA150" s="120"/>
      <c r="AB150" s="119"/>
      <c r="AC150" s="119"/>
      <c r="AD150" s="119"/>
      <c r="AE150" s="120"/>
      <c r="AF150" s="107"/>
      <c r="AG150" s="15"/>
      <c r="AH150" s="108"/>
      <c r="AI150" s="113" t="s">
        <v>346</v>
      </c>
      <c r="AJ150" s="115"/>
      <c r="AK150" s="287"/>
      <c r="AL150"/>
      <c r="AM150" s="8"/>
      <c r="AP150" s="9"/>
      <c r="AQ150" s="9"/>
      <c r="AR150" s="9"/>
    </row>
    <row r="151" spans="1:44">
      <c r="A151" s="1">
        <v>144</v>
      </c>
      <c r="B151" s="102" t="str">
        <f t="shared" si="67"/>
        <v>144 - Zwergrind - Milchkühe (&gt; 10.000 kg Milch) - Gülle</v>
      </c>
      <c r="C151" s="338" t="s">
        <v>347</v>
      </c>
      <c r="D151" s="99">
        <v>56.3</v>
      </c>
      <c r="E151" s="99"/>
      <c r="F151" s="99"/>
      <c r="G151" s="99"/>
      <c r="H151" s="354"/>
      <c r="I151" s="355">
        <v>6.35</v>
      </c>
      <c r="J151" s="99">
        <v>0</v>
      </c>
      <c r="K151" s="101">
        <v>0</v>
      </c>
      <c r="L151" s="107">
        <v>0.5</v>
      </c>
      <c r="M151" s="108">
        <v>1</v>
      </c>
      <c r="N151" s="355">
        <v>25.55</v>
      </c>
      <c r="O151" s="15">
        <v>0</v>
      </c>
      <c r="P151" s="15">
        <v>0</v>
      </c>
      <c r="Q151" s="100">
        <v>0</v>
      </c>
      <c r="R151" s="356">
        <v>0</v>
      </c>
      <c r="S151" s="98">
        <v>111.7</v>
      </c>
      <c r="T151" s="100">
        <v>0</v>
      </c>
      <c r="U151" s="100">
        <v>0</v>
      </c>
      <c r="V151" s="100">
        <v>0</v>
      </c>
      <c r="W151" s="356">
        <v>0</v>
      </c>
      <c r="X151" s="118"/>
      <c r="Y151" s="119"/>
      <c r="Z151" s="119"/>
      <c r="AA151" s="120"/>
      <c r="AB151" s="119"/>
      <c r="AC151" s="119"/>
      <c r="AD151" s="119"/>
      <c r="AE151" s="120"/>
      <c r="AF151" s="107"/>
      <c r="AG151" s="15"/>
      <c r="AH151" s="108"/>
      <c r="AI151" s="113" t="s">
        <v>347</v>
      </c>
      <c r="AJ151" s="115"/>
      <c r="AK151" s="287"/>
      <c r="AL151"/>
      <c r="AM151" s="8"/>
      <c r="AP151" s="9"/>
      <c r="AQ151" s="9"/>
      <c r="AR151" s="9"/>
    </row>
    <row r="152" spans="1:44">
      <c r="A152" s="1">
        <v>145</v>
      </c>
      <c r="B152" s="102" t="str">
        <f t="shared" si="67"/>
        <v>145 - Zwergrind - Milchkühe (&gt; 10.000 kg Milch) - Mist/Jauche</v>
      </c>
      <c r="C152" s="338" t="s">
        <v>348</v>
      </c>
      <c r="D152" s="99"/>
      <c r="E152" s="99"/>
      <c r="F152" s="99"/>
      <c r="G152" s="99">
        <v>15.45</v>
      </c>
      <c r="H152" s="354">
        <v>30.95</v>
      </c>
      <c r="I152" s="355">
        <v>0</v>
      </c>
      <c r="J152" s="99">
        <v>2.1</v>
      </c>
      <c r="K152" s="101">
        <v>4.05</v>
      </c>
      <c r="L152" s="107">
        <v>0.5</v>
      </c>
      <c r="M152" s="108">
        <v>1</v>
      </c>
      <c r="N152" s="355">
        <v>0</v>
      </c>
      <c r="O152" s="15">
        <v>0</v>
      </c>
      <c r="P152" s="15">
        <v>0</v>
      </c>
      <c r="Q152" s="100">
        <v>1.2775000000000001</v>
      </c>
      <c r="R152" s="356">
        <v>24.272500000000001</v>
      </c>
      <c r="S152" s="98">
        <v>0</v>
      </c>
      <c r="T152" s="100">
        <v>0</v>
      </c>
      <c r="U152" s="100">
        <v>0</v>
      </c>
      <c r="V152" s="100">
        <v>36.860999999999997</v>
      </c>
      <c r="W152" s="356">
        <v>74.838999999999999</v>
      </c>
      <c r="X152" s="118"/>
      <c r="Y152" s="119"/>
      <c r="Z152" s="119"/>
      <c r="AA152" s="120"/>
      <c r="AB152" s="119"/>
      <c r="AC152" s="119"/>
      <c r="AD152" s="119"/>
      <c r="AE152" s="120"/>
      <c r="AF152" s="107"/>
      <c r="AG152" s="15"/>
      <c r="AH152" s="108"/>
      <c r="AI152" s="113" t="s">
        <v>348</v>
      </c>
      <c r="AJ152" s="115"/>
      <c r="AK152" s="287"/>
      <c r="AL152"/>
      <c r="AM152" s="8"/>
      <c r="AP152" s="9"/>
      <c r="AQ152" s="9"/>
      <c r="AR152" s="9"/>
    </row>
    <row r="153" spans="1:44" ht="13.5" thickBot="1">
      <c r="A153" s="1">
        <v>146</v>
      </c>
      <c r="B153" s="102" t="str">
        <f t="shared" si="67"/>
        <v>146 - Zwergrind - Milchkühe (&gt; 10.000 kg Milch) - Tiefstallmist</v>
      </c>
      <c r="C153" s="338" t="s">
        <v>349</v>
      </c>
      <c r="D153" s="99"/>
      <c r="E153" s="99"/>
      <c r="F153" s="99"/>
      <c r="G153" s="99"/>
      <c r="H153" s="354">
        <v>46.4</v>
      </c>
      <c r="I153" s="355">
        <v>0</v>
      </c>
      <c r="J153" s="99">
        <v>0</v>
      </c>
      <c r="K153" s="101">
        <v>6.5</v>
      </c>
      <c r="L153" s="107">
        <v>0.5</v>
      </c>
      <c r="M153" s="108">
        <v>1</v>
      </c>
      <c r="N153" s="355">
        <v>0</v>
      </c>
      <c r="O153" s="15">
        <v>0</v>
      </c>
      <c r="P153" s="15">
        <v>0</v>
      </c>
      <c r="Q153" s="100">
        <v>0</v>
      </c>
      <c r="R153" s="356">
        <v>25.55</v>
      </c>
      <c r="S153" s="98">
        <v>0</v>
      </c>
      <c r="T153" s="100">
        <v>0</v>
      </c>
      <c r="U153" s="100">
        <v>0</v>
      </c>
      <c r="V153" s="100">
        <v>0</v>
      </c>
      <c r="W153" s="356">
        <v>111.7</v>
      </c>
      <c r="X153" s="118"/>
      <c r="Y153" s="119"/>
      <c r="Z153" s="119"/>
      <c r="AA153" s="120"/>
      <c r="AB153" s="119"/>
      <c r="AC153" s="119"/>
      <c r="AD153" s="119"/>
      <c r="AE153" s="120"/>
      <c r="AF153" s="107"/>
      <c r="AG153" s="15"/>
      <c r="AH153" s="108"/>
      <c r="AI153" s="113" t="s">
        <v>349</v>
      </c>
      <c r="AJ153" s="115"/>
      <c r="AK153" s="287"/>
      <c r="AL153"/>
      <c r="AM153" s="8"/>
      <c r="AP153" s="9"/>
      <c r="AQ153" s="9"/>
      <c r="AR153" s="9"/>
    </row>
    <row r="154" spans="1:44" ht="13.5" thickBot="1">
      <c r="A154"/>
      <c r="B154" s="47"/>
      <c r="C154" s="279"/>
      <c r="D154" s="50">
        <v>3</v>
      </c>
      <c r="E154" s="50">
        <v>4</v>
      </c>
      <c r="F154" s="50">
        <v>5</v>
      </c>
      <c r="G154" s="50">
        <v>6</v>
      </c>
      <c r="H154" s="73">
        <v>7</v>
      </c>
      <c r="I154" s="51">
        <v>8</v>
      </c>
      <c r="J154" s="52">
        <v>9</v>
      </c>
      <c r="K154" s="53">
        <v>10</v>
      </c>
      <c r="L154" s="51">
        <v>14</v>
      </c>
      <c r="M154" s="53">
        <v>15</v>
      </c>
      <c r="N154" s="51"/>
      <c r="O154" s="52"/>
      <c r="P154" s="52"/>
      <c r="Q154" s="52"/>
      <c r="R154" s="53"/>
      <c r="S154" s="51"/>
      <c r="T154" s="52"/>
      <c r="U154" s="52"/>
      <c r="V154" s="52"/>
      <c r="W154" s="53"/>
      <c r="X154" s="51"/>
      <c r="Y154" s="52"/>
      <c r="Z154" s="52"/>
      <c r="AA154" s="52"/>
      <c r="AB154" s="52"/>
      <c r="AC154" s="52"/>
      <c r="AD154" s="52"/>
      <c r="AE154" s="53"/>
      <c r="AF154" s="51">
        <v>11</v>
      </c>
      <c r="AG154" s="52">
        <v>12</v>
      </c>
      <c r="AH154" s="53">
        <v>13</v>
      </c>
      <c r="AI154" s="280"/>
      <c r="AJ154" s="281"/>
      <c r="AK154" s="333"/>
      <c r="AL154"/>
      <c r="AM154" s="8"/>
      <c r="AP154" s="9"/>
      <c r="AQ154" s="9"/>
      <c r="AR154" s="9"/>
    </row>
    <row r="155" spans="1:44">
      <c r="A155"/>
      <c r="B155" s="10"/>
      <c r="C155" s="10"/>
      <c r="D155" s="357"/>
      <c r="E155" s="357"/>
      <c r="F155" s="357"/>
      <c r="G155" s="357"/>
      <c r="H155" s="357"/>
      <c r="I155" s="358"/>
      <c r="J155" s="358"/>
      <c r="K155" s="358"/>
      <c r="L155" s="358"/>
      <c r="M155" s="358"/>
      <c r="N155" s="358" t="s">
        <v>350</v>
      </c>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9"/>
      <c r="AJ155" s="9"/>
      <c r="AK155" s="360"/>
      <c r="AL155"/>
      <c r="AM155" s="8"/>
      <c r="AP155" s="9"/>
      <c r="AQ155" s="9"/>
      <c r="AR155" s="9"/>
    </row>
    <row r="156" spans="1:44" ht="13.5" thickBot="1">
      <c r="A156" s="361"/>
      <c r="B156" s="362"/>
      <c r="C156" s="362"/>
      <c r="D156" s="361"/>
      <c r="E156" s="361"/>
      <c r="F156" s="361"/>
      <c r="G156" s="361"/>
      <c r="H156" s="361"/>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363"/>
      <c r="AK156" s="8"/>
      <c r="AL156" s="8"/>
      <c r="AM156" s="8"/>
      <c r="AP156" s="9"/>
      <c r="AQ156" s="9"/>
      <c r="AR156" s="9"/>
    </row>
    <row r="157" spans="1:44" ht="42.75" customHeight="1">
      <c r="A157"/>
      <c r="C157" s="364" t="s">
        <v>351</v>
      </c>
      <c r="D157" s="365" t="s">
        <v>168</v>
      </c>
      <c r="E157" s="366" t="s">
        <v>352</v>
      </c>
      <c r="F157" s="365" t="s">
        <v>149</v>
      </c>
      <c r="G157" s="367" t="s">
        <v>353</v>
      </c>
      <c r="H157" s="368" t="s">
        <v>354</v>
      </c>
      <c r="I157" s="369" t="s">
        <v>124</v>
      </c>
      <c r="J157" s="370" t="s">
        <v>125</v>
      </c>
      <c r="K157" s="371" t="s">
        <v>355</v>
      </c>
      <c r="L157" s="365" t="s">
        <v>356</v>
      </c>
      <c r="M157" s="367" t="s">
        <v>357</v>
      </c>
      <c r="N157" s="368" t="s">
        <v>358</v>
      </c>
      <c r="O157" s="369" t="s">
        <v>359</v>
      </c>
      <c r="P157" s="370" t="s">
        <v>360</v>
      </c>
      <c r="Q157"/>
      <c r="R157"/>
      <c r="S157" s="372" t="s">
        <v>361</v>
      </c>
      <c r="T157" s="88"/>
      <c r="U157" s="373" t="s">
        <v>168</v>
      </c>
      <c r="V157" s="373" t="s">
        <v>362</v>
      </c>
      <c r="W157" s="374" t="s">
        <v>352</v>
      </c>
      <c r="X157" s="375" t="s">
        <v>149</v>
      </c>
      <c r="Y157" s="376" t="s">
        <v>363</v>
      </c>
      <c r="Z157" s="377" t="s">
        <v>364</v>
      </c>
      <c r="AA157" s="378" t="s">
        <v>365</v>
      </c>
      <c r="AB157" s="379" t="s">
        <v>366</v>
      </c>
      <c r="AC157" s="375" t="s">
        <v>355</v>
      </c>
      <c r="AD157" s="380" t="s">
        <v>356</v>
      </c>
      <c r="AE157" s="376" t="s">
        <v>357</v>
      </c>
      <c r="AF157" s="368" t="s">
        <v>358</v>
      </c>
      <c r="AG157" s="369" t="s">
        <v>359</v>
      </c>
      <c r="AH157" s="370" t="s">
        <v>360</v>
      </c>
      <c r="AI157" s="1697" t="s">
        <v>1754</v>
      </c>
      <c r="AJ157" s="9"/>
      <c r="AK157"/>
      <c r="AO157" s="9"/>
      <c r="AQ157" s="9"/>
      <c r="AR157" s="9"/>
    </row>
    <row r="158" spans="1:44">
      <c r="A158"/>
      <c r="B158" s="102"/>
      <c r="C158" s="381">
        <v>1</v>
      </c>
      <c r="D158" s="382">
        <v>2</v>
      </c>
      <c r="E158" s="381">
        <v>3</v>
      </c>
      <c r="F158" s="382">
        <v>4</v>
      </c>
      <c r="G158" s="381">
        <v>5</v>
      </c>
      <c r="H158" s="382">
        <v>6</v>
      </c>
      <c r="I158" s="381">
        <v>7</v>
      </c>
      <c r="J158" s="382">
        <v>8</v>
      </c>
      <c r="K158" s="381">
        <v>9</v>
      </c>
      <c r="L158" s="382">
        <v>10</v>
      </c>
      <c r="M158" s="381">
        <v>11</v>
      </c>
      <c r="N158" s="382">
        <v>12</v>
      </c>
      <c r="O158" s="381">
        <v>13</v>
      </c>
      <c r="P158" s="382">
        <v>14</v>
      </c>
      <c r="Q158" s="1749">
        <v>15</v>
      </c>
      <c r="R158"/>
      <c r="S158"/>
      <c r="T158" s="9">
        <v>1</v>
      </c>
      <c r="U158" s="9">
        <v>2</v>
      </c>
      <c r="V158" s="9">
        <v>3</v>
      </c>
      <c r="W158" s="395">
        <v>4</v>
      </c>
      <c r="X158" s="9">
        <v>5</v>
      </c>
      <c r="Y158" s="9">
        <v>6</v>
      </c>
      <c r="Z158" s="1698">
        <v>7</v>
      </c>
      <c r="AA158" s="1699">
        <v>8</v>
      </c>
      <c r="AB158" s="1700">
        <v>9</v>
      </c>
      <c r="AC158" s="9">
        <v>10</v>
      </c>
      <c r="AD158" s="9">
        <v>11</v>
      </c>
      <c r="AE158" s="9">
        <v>12</v>
      </c>
      <c r="AF158" s="9">
        <v>13</v>
      </c>
      <c r="AG158" s="9">
        <v>14</v>
      </c>
      <c r="AH158" s="9">
        <v>15</v>
      </c>
      <c r="AI158" s="9">
        <v>16</v>
      </c>
      <c r="AJ158" s="9"/>
      <c r="AK158"/>
      <c r="AO158" s="9"/>
      <c r="AQ158" s="9"/>
      <c r="AR158" s="9"/>
    </row>
    <row r="159" spans="1:44">
      <c r="A159"/>
      <c r="B159" s="102"/>
      <c r="C159" s="381" t="str">
        <f>IF(ISBLANK(Hofdung!B13),Hofdung!A13,Hofdung!B13)</f>
        <v>Rindergülle</v>
      </c>
      <c r="D159" s="384">
        <f>Hofdung!F13</f>
        <v>0</v>
      </c>
      <c r="E159" s="384">
        <f>Hofdung!F13-Hofdung!G13</f>
        <v>0</v>
      </c>
      <c r="F159" s="385">
        <f>Hofdung!H13</f>
        <v>0</v>
      </c>
      <c r="G159" s="386">
        <f>Hofdung!I13</f>
        <v>0</v>
      </c>
      <c r="H159" s="387">
        <f>Hofdung!J13</f>
        <v>0</v>
      </c>
      <c r="I159" s="385">
        <f>Hofdung!K13</f>
        <v>0</v>
      </c>
      <c r="J159" s="388">
        <f>Hofdung!L13</f>
        <v>0</v>
      </c>
      <c r="K159" s="389">
        <f>Hofdung!M13</f>
        <v>0</v>
      </c>
      <c r="L159" s="385">
        <f>Hofdung!N13</f>
        <v>1</v>
      </c>
      <c r="M159" s="386" t="str">
        <f>Hofdung!O13</f>
        <v>WD</v>
      </c>
      <c r="N159" s="390">
        <f t="shared" ref="N159:N178" si="68">$E159*H159</f>
        <v>0</v>
      </c>
      <c r="O159" s="391">
        <f t="shared" ref="O159:O178" si="69">$E159*I159</f>
        <v>0</v>
      </c>
      <c r="P159" s="392">
        <f t="shared" ref="P159:P178" si="70">$E159*J159</f>
        <v>0</v>
      </c>
      <c r="Q159"/>
      <c r="R159"/>
      <c r="S159" s="190"/>
      <c r="T159" s="1606">
        <f>Düngeplanung!Z9</f>
        <v>0</v>
      </c>
      <c r="U159" s="1684">
        <f>IF(T159=0,0,VLOOKUP(T159,$C$158:$P$225,2,0))</f>
        <v>0</v>
      </c>
      <c r="V159" s="1685">
        <f>IF(ISNA($U159),0,U159)</f>
        <v>0</v>
      </c>
      <c r="W159" s="1686">
        <f>IF($T159=0,0,VLOOKUP(T159,$C$158:$P$225,3,0))</f>
        <v>0</v>
      </c>
      <c r="X159" s="1684">
        <f>IF($T159=0,0,VLOOKUP(T159,$C$158:$P$225,4,0))</f>
        <v>0</v>
      </c>
      <c r="Y159" s="1685">
        <f>IF($T159=0,0,VLOOKUP(T159,$C$158:$P$225,5,0))</f>
        <v>0</v>
      </c>
      <c r="Z159" s="1687">
        <f>IF($T159=0,0,VLOOKUP(T159,$C$158:$P$225,6,0))</f>
        <v>0</v>
      </c>
      <c r="AA159" s="1688">
        <f>IF($T159=0,0,VLOOKUP(T159,$C$158:$P$225,7,0))</f>
        <v>0</v>
      </c>
      <c r="AB159" s="1689">
        <f>IF($T159=0,0,VLOOKUP(T159,$C$158:$P$225,8,0))</f>
        <v>0</v>
      </c>
      <c r="AC159" s="1685">
        <f>IF($T159=0,0,VLOOKUP(T159,$C$158:$P$225,9,0))</f>
        <v>0</v>
      </c>
      <c r="AD159" s="1690">
        <f>IF($T159=0,0,VLOOKUP(T159,$C$158:$P$225,10,0))</f>
        <v>0</v>
      </c>
      <c r="AE159" s="1685">
        <f>IF($T159=0,0,VLOOKUP(T159,$C$158:$P$225,11,0))</f>
        <v>0</v>
      </c>
      <c r="AF159" s="390">
        <f t="shared" ref="AF159:AH162" si="71">$W159*Z159</f>
        <v>0</v>
      </c>
      <c r="AG159" s="391">
        <f t="shared" si="71"/>
        <v>0</v>
      </c>
      <c r="AH159" s="392">
        <f t="shared" si="71"/>
        <v>0</v>
      </c>
      <c r="AI159" s="1696">
        <f>Düngeplanung!AB9</f>
        <v>0</v>
      </c>
      <c r="AJ159" s="131">
        <f>Düngeplanung!Z9</f>
        <v>0</v>
      </c>
      <c r="AK159"/>
      <c r="AO159" s="9"/>
      <c r="AQ159" s="9"/>
      <c r="AR159" s="9"/>
    </row>
    <row r="160" spans="1:44">
      <c r="A160"/>
      <c r="B160" s="102"/>
      <c r="C160" s="381" t="str">
        <f>IF(ISBLANK(Hofdung!B14),Hofdung!A14,Hofdung!B14)</f>
        <v>Schweinegülle</v>
      </c>
      <c r="D160" s="384">
        <f>Hofdung!F14</f>
        <v>0</v>
      </c>
      <c r="E160" s="384">
        <f>Hofdung!F14-Hofdung!G14</f>
        <v>0</v>
      </c>
      <c r="F160" s="385">
        <f>Hofdung!H14</f>
        <v>0</v>
      </c>
      <c r="G160" s="386">
        <f>Hofdung!I14</f>
        <v>0</v>
      </c>
      <c r="H160" s="387">
        <f>Hofdung!J14</f>
        <v>0</v>
      </c>
      <c r="I160" s="385">
        <f>Hofdung!K14</f>
        <v>0</v>
      </c>
      <c r="J160" s="388">
        <f>Hofdung!L14</f>
        <v>0</v>
      </c>
      <c r="K160" s="389">
        <f>Hofdung!M14</f>
        <v>0</v>
      </c>
      <c r="L160" s="385">
        <f>Hofdung!N14</f>
        <v>1</v>
      </c>
      <c r="M160" s="383" t="s">
        <v>367</v>
      </c>
      <c r="N160" s="390">
        <f t="shared" si="68"/>
        <v>0</v>
      </c>
      <c r="O160" s="391">
        <f t="shared" si="69"/>
        <v>0</v>
      </c>
      <c r="P160" s="392">
        <f t="shared" si="70"/>
        <v>0</v>
      </c>
      <c r="Q160"/>
      <c r="R160"/>
      <c r="S160" s="190"/>
      <c r="T160" s="1606">
        <f>Düngeplanung!Z10</f>
        <v>0</v>
      </c>
      <c r="U160" s="1684">
        <f>IF(T160=0,0,VLOOKUP(T160,$C$158:$P$225,2,0))</f>
        <v>0</v>
      </c>
      <c r="V160" s="1685">
        <f>IF(ISNA($U160),0,U160)</f>
        <v>0</v>
      </c>
      <c r="W160" s="1686">
        <f>IF($T160=0,0,VLOOKUP(T160,$C$158:$P$225,3,0))</f>
        <v>0</v>
      </c>
      <c r="X160" s="1684">
        <f>IF($T160=0,0,VLOOKUP(T160,$C$158:$P$225,4,0))</f>
        <v>0</v>
      </c>
      <c r="Y160" s="1685">
        <f>IF($T160=0,0,VLOOKUP(T160,$C$158:$P$225,5,0))</f>
        <v>0</v>
      </c>
      <c r="Z160" s="1687">
        <f>IF($T160=0,0,VLOOKUP(T160,$C$158:$P$225,6,0))</f>
        <v>0</v>
      </c>
      <c r="AA160" s="1688">
        <f>IF($T160=0,0,VLOOKUP(T160,$C$158:$P$225,7,0))</f>
        <v>0</v>
      </c>
      <c r="AB160" s="1689">
        <f>IF($T160=0,0,VLOOKUP(T160,$C$158:$P$225,8,0))</f>
        <v>0</v>
      </c>
      <c r="AC160" s="1685">
        <f>IF($T160=0,0,VLOOKUP(T160,$C$158:$P$225,9,0))</f>
        <v>0</v>
      </c>
      <c r="AD160" s="1690">
        <f>IF($T160=0,0,VLOOKUP(T160,$C$158:$P$225,10,0))</f>
        <v>0</v>
      </c>
      <c r="AE160" s="1685">
        <f>IF($T160=0,0,VLOOKUP(T160,$C$158:$P$225,11,0))</f>
        <v>0</v>
      </c>
      <c r="AF160" s="390">
        <f t="shared" si="71"/>
        <v>0</v>
      </c>
      <c r="AG160" s="391">
        <f t="shared" si="71"/>
        <v>0</v>
      </c>
      <c r="AH160" s="392">
        <f t="shared" si="71"/>
        <v>0</v>
      </c>
      <c r="AI160" s="1696">
        <f>Düngeplanung!AB10</f>
        <v>0</v>
      </c>
      <c r="AJ160" s="131">
        <f>Düngeplanung!Z10</f>
        <v>0</v>
      </c>
      <c r="AK160"/>
      <c r="AO160" s="9"/>
      <c r="AQ160" s="9"/>
      <c r="AR160" s="9"/>
    </row>
    <row r="161" spans="1:44">
      <c r="A161"/>
      <c r="B161" s="102"/>
      <c r="C161" s="381" t="str">
        <f>IF(ISBLANK(Hofdung!B15),Hofdung!A15,Hofdung!B15)</f>
        <v>Geflügelgülle</v>
      </c>
      <c r="D161" s="384">
        <f>Hofdung!F15</f>
        <v>0</v>
      </c>
      <c r="E161" s="384">
        <f>Hofdung!F15-Hofdung!G15</f>
        <v>0</v>
      </c>
      <c r="F161" s="385">
        <f>Hofdung!H15</f>
        <v>0</v>
      </c>
      <c r="G161" s="386">
        <f>Hofdung!I15</f>
        <v>0</v>
      </c>
      <c r="H161" s="387">
        <f>Hofdung!J15</f>
        <v>0</v>
      </c>
      <c r="I161" s="385">
        <f>Hofdung!K15</f>
        <v>0</v>
      </c>
      <c r="J161" s="388">
        <f>Hofdung!L15</f>
        <v>0</v>
      </c>
      <c r="K161" s="389">
        <f>Hofdung!M15</f>
        <v>0</v>
      </c>
      <c r="L161" s="385">
        <f>Hofdung!N15</f>
        <v>1</v>
      </c>
      <c r="M161" s="383" t="s">
        <v>367</v>
      </c>
      <c r="N161" s="390">
        <f t="shared" si="68"/>
        <v>0</v>
      </c>
      <c r="O161" s="391">
        <f t="shared" si="69"/>
        <v>0</v>
      </c>
      <c r="P161" s="392">
        <f t="shared" si="70"/>
        <v>0</v>
      </c>
      <c r="Q161"/>
      <c r="R161"/>
      <c r="S161" s="190"/>
      <c r="T161" s="1606">
        <f>Düngeplanung!Z11</f>
        <v>0</v>
      </c>
      <c r="U161" s="1684">
        <f>IF(T161=0,0,VLOOKUP(T161,$C$158:$P$225,2,0))</f>
        <v>0</v>
      </c>
      <c r="V161" s="1685">
        <f>IF(ISNA($U161),0,U161)</f>
        <v>0</v>
      </c>
      <c r="W161" s="1686">
        <f>IF($T161=0,0,VLOOKUP(T161,$C$158:$P$225,3,0))</f>
        <v>0</v>
      </c>
      <c r="X161" s="1684">
        <f>IF($T161=0,0,VLOOKUP(T161,$C$158:$P$225,4,0))</f>
        <v>0</v>
      </c>
      <c r="Y161" s="1685">
        <f>IF($T161=0,0,VLOOKUP(T161,$C$158:$P$225,5,0))</f>
        <v>0</v>
      </c>
      <c r="Z161" s="1687">
        <f>IF($T161=0,0,VLOOKUP(T161,$C$158:$P$225,6,0))</f>
        <v>0</v>
      </c>
      <c r="AA161" s="1688">
        <f>IF($T161=0,0,VLOOKUP(T161,$C$158:$P$225,7,0))</f>
        <v>0</v>
      </c>
      <c r="AB161" s="1689">
        <f>IF($T161=0,0,VLOOKUP(T161,$C$158:$P$225,8,0))</f>
        <v>0</v>
      </c>
      <c r="AC161" s="1685">
        <f>IF($T161=0,0,VLOOKUP(T161,$C$158:$P$225,9,0))</f>
        <v>0</v>
      </c>
      <c r="AD161" s="1690">
        <f>IF($T161=0,0,VLOOKUP(T161,$C$158:$P$225,10,0))</f>
        <v>0</v>
      </c>
      <c r="AE161" s="1685">
        <f>IF($T161=0,0,VLOOKUP(T161,$C$158:$P$225,11,0))</f>
        <v>0</v>
      </c>
      <c r="AF161" s="390">
        <f t="shared" si="71"/>
        <v>0</v>
      </c>
      <c r="AG161" s="391">
        <f t="shared" si="71"/>
        <v>0</v>
      </c>
      <c r="AH161" s="392">
        <f t="shared" si="71"/>
        <v>0</v>
      </c>
      <c r="AI161" s="1696">
        <f>Düngeplanung!AB11</f>
        <v>0</v>
      </c>
      <c r="AJ161" s="131">
        <f>Düngeplanung!Z11</f>
        <v>0</v>
      </c>
      <c r="AK161"/>
      <c r="AO161" s="9"/>
      <c r="AQ161" s="9"/>
      <c r="AR161" s="9"/>
    </row>
    <row r="162" spans="1:44">
      <c r="A162"/>
      <c r="B162" s="102"/>
      <c r="C162" s="381" t="str">
        <f>IF(ISBLANK(Hofdung!B16),Hofdung!A16,Hofdung!B16)</f>
        <v>Jauche</v>
      </c>
      <c r="D162" s="384">
        <f>Hofdung!F16</f>
        <v>0</v>
      </c>
      <c r="E162" s="384">
        <f>Hofdung!F16-Hofdung!G16</f>
        <v>0</v>
      </c>
      <c r="F162" s="385">
        <f>Hofdung!H16</f>
        <v>0</v>
      </c>
      <c r="G162" s="386">
        <f>Hofdung!I16</f>
        <v>0</v>
      </c>
      <c r="H162" s="387">
        <f>Hofdung!J16</f>
        <v>0</v>
      </c>
      <c r="I162" s="385">
        <f>Hofdung!K16</f>
        <v>0</v>
      </c>
      <c r="J162" s="388">
        <f>Hofdung!L16</f>
        <v>0</v>
      </c>
      <c r="K162" s="389">
        <f>Hofdung!M16</f>
        <v>0</v>
      </c>
      <c r="L162" s="385">
        <f>Hofdung!N16</f>
        <v>1</v>
      </c>
      <c r="M162" s="383" t="s">
        <v>367</v>
      </c>
      <c r="N162" s="390">
        <f t="shared" si="68"/>
        <v>0</v>
      </c>
      <c r="O162" s="391">
        <f t="shared" si="69"/>
        <v>0</v>
      </c>
      <c r="P162" s="392">
        <f t="shared" si="70"/>
        <v>0</v>
      </c>
      <c r="Q162"/>
      <c r="R162"/>
      <c r="S162" s="190"/>
      <c r="T162" s="1606">
        <f>Düngeplanung!Z12</f>
        <v>0</v>
      </c>
      <c r="U162" s="1684">
        <f>IF(T162=0,0,VLOOKUP(T162,$C$158:$P$225,2,0))</f>
        <v>0</v>
      </c>
      <c r="V162" s="1685">
        <f>IF(ISNA($U162),0,U162)</f>
        <v>0</v>
      </c>
      <c r="W162" s="1686">
        <f>IF($T162=0,0,VLOOKUP(T162,$C$158:$P$225,3,0))</f>
        <v>0</v>
      </c>
      <c r="X162" s="1684">
        <f>IF($T162=0,0,VLOOKUP(T162,$C$158:$P$225,4,0))</f>
        <v>0</v>
      </c>
      <c r="Y162" s="1685">
        <f>IF($T162=0,0,VLOOKUP(T162,$C$158:$P$225,5,0))</f>
        <v>0</v>
      </c>
      <c r="Z162" s="1687">
        <f>IF($T162=0,0,VLOOKUP(T162,$C$158:$P$225,6,0))</f>
        <v>0</v>
      </c>
      <c r="AA162" s="1688">
        <f>IF($T162=0,0,VLOOKUP(T162,$C$158:$P$225,7,0))</f>
        <v>0</v>
      </c>
      <c r="AB162" s="1689">
        <f>IF($T162=0,0,VLOOKUP(T162,$C$158:$P$225,8,0))</f>
        <v>0</v>
      </c>
      <c r="AC162" s="1685">
        <f>IF($T162=0,0,VLOOKUP(T162,$C$158:$P$225,9,0))</f>
        <v>0</v>
      </c>
      <c r="AD162" s="1690">
        <f>IF($T162=0,0,VLOOKUP(T162,$C$158:$P$225,10,0))</f>
        <v>0</v>
      </c>
      <c r="AE162" s="1685">
        <f>IF($T162=0,0,VLOOKUP(T162,$C$158:$P$225,11,0))</f>
        <v>0</v>
      </c>
      <c r="AF162" s="390">
        <f t="shared" si="71"/>
        <v>0</v>
      </c>
      <c r="AG162" s="391">
        <f t="shared" si="71"/>
        <v>0</v>
      </c>
      <c r="AH162" s="392">
        <f t="shared" si="71"/>
        <v>0</v>
      </c>
      <c r="AI162" s="1696">
        <f>Düngeplanung!AB12</f>
        <v>0</v>
      </c>
      <c r="AJ162" s="131">
        <f>Düngeplanung!Z12</f>
        <v>0</v>
      </c>
      <c r="AK162"/>
      <c r="AO162" s="9"/>
      <c r="AQ162" s="9"/>
      <c r="AR162" s="9"/>
    </row>
    <row r="163" spans="1:44">
      <c r="A163"/>
      <c r="B163" s="102"/>
      <c r="C163" s="381" t="str">
        <f>IF(ISBLANK(Hofdung!B17),Hofdung!A17,Hofdung!B17)</f>
        <v xml:space="preserve">Mist  </v>
      </c>
      <c r="D163" s="384">
        <f>Hofdung!F17</f>
        <v>0</v>
      </c>
      <c r="E163" s="384">
        <f>Hofdung!F17-Hofdung!G17</f>
        <v>0</v>
      </c>
      <c r="F163" s="385">
        <f>Hofdung!H17</f>
        <v>0</v>
      </c>
      <c r="G163" s="386">
        <f>Hofdung!I17</f>
        <v>0</v>
      </c>
      <c r="H163" s="387">
        <f>Hofdung!J17</f>
        <v>0</v>
      </c>
      <c r="I163" s="385">
        <f>Hofdung!K17</f>
        <v>0</v>
      </c>
      <c r="J163" s="388">
        <f>Hofdung!L17</f>
        <v>0</v>
      </c>
      <c r="K163" s="401">
        <f>Hofdung!M17</f>
        <v>0.15</v>
      </c>
      <c r="L163" s="385">
        <f>Hofdung!N17</f>
        <v>1</v>
      </c>
      <c r="M163" s="383" t="s">
        <v>367</v>
      </c>
      <c r="N163" s="390">
        <f t="shared" si="68"/>
        <v>0</v>
      </c>
      <c r="O163" s="391">
        <f t="shared" si="69"/>
        <v>0</v>
      </c>
      <c r="P163" s="392">
        <f t="shared" si="70"/>
        <v>0</v>
      </c>
      <c r="Q163"/>
      <c r="R163"/>
      <c r="S163" s="190"/>
      <c r="T163" s="1606">
        <f>Düngeplanung!Z13</f>
        <v>0</v>
      </c>
      <c r="U163" s="1684">
        <f>IF(T163=0,0,VLOOKUP(T163,$C$158:$P$225,2,0))</f>
        <v>0</v>
      </c>
      <c r="V163" s="1685">
        <f>IF(ISNA($U163),0,U163)</f>
        <v>0</v>
      </c>
      <c r="W163" s="1686">
        <f>IF($T163=0,0,VLOOKUP(T163,$C$158:$P$225,3,0))</f>
        <v>0</v>
      </c>
      <c r="X163" s="1684">
        <f>IF($T163=0,0,VLOOKUP(T163,$C$158:$P$225,4,0))</f>
        <v>0</v>
      </c>
      <c r="Y163" s="1685">
        <f>IF($T163=0,0,VLOOKUP(T163,$C$158:$P$225,5,0))</f>
        <v>0</v>
      </c>
      <c r="Z163" s="1687">
        <f>IF($T163=0,0,VLOOKUP(T163,$C$158:$P$225,6,0))</f>
        <v>0</v>
      </c>
      <c r="AA163" s="1688">
        <f>IF($T163=0,0,VLOOKUP(T163,$C$158:$P$225,7,0))</f>
        <v>0</v>
      </c>
      <c r="AB163" s="1689">
        <f>IF($T163=0,0,VLOOKUP(T163,$C$158:$P$225,8,0))</f>
        <v>0</v>
      </c>
      <c r="AC163" s="1685">
        <f>IF($T163=0,0,VLOOKUP(T163,$C$158:$P$225,9,0))</f>
        <v>0</v>
      </c>
      <c r="AD163" s="1690">
        <f>IF($T163=0,0,VLOOKUP(T163,$C$158:$P$225,10,0))</f>
        <v>0</v>
      </c>
      <c r="AE163" s="1685">
        <f>IF($T163=0,0,VLOOKUP(T163,$C$158:$P$225,11,0))</f>
        <v>0</v>
      </c>
      <c r="AF163" s="390">
        <f t="shared" ref="AF163" si="72">$W163*Z163</f>
        <v>0</v>
      </c>
      <c r="AG163" s="391">
        <f t="shared" ref="AG163" si="73">$W163*AA163</f>
        <v>0</v>
      </c>
      <c r="AH163" s="392">
        <f t="shared" ref="AH163" si="74">$W163*AB163</f>
        <v>0</v>
      </c>
      <c r="AI163" s="1696">
        <f>Düngeplanung!AB13</f>
        <v>0</v>
      </c>
      <c r="AJ163" s="131">
        <f>Düngeplanung!Z13</f>
        <v>0</v>
      </c>
      <c r="AO163" s="9"/>
      <c r="AQ163" s="9"/>
      <c r="AR163" s="9"/>
    </row>
    <row r="164" spans="1:44">
      <c r="A164"/>
      <c r="B164" s="102"/>
      <c r="C164" s="381" t="str">
        <f>IF(ISBLANK(Hofdung!B18),Hofdung!A18,Hofdung!B18)</f>
        <v>Mist 2</v>
      </c>
      <c r="D164" s="384">
        <f>Hofdung!F18</f>
        <v>0</v>
      </c>
      <c r="E164" s="384">
        <f>Hofdung!F18-Hofdung!G18</f>
        <v>0</v>
      </c>
      <c r="F164" s="385">
        <f>Hofdung!H18</f>
        <v>0</v>
      </c>
      <c r="G164" s="386">
        <f>Hofdung!I18</f>
        <v>0</v>
      </c>
      <c r="H164" s="387">
        <f>Hofdung!J18</f>
        <v>0</v>
      </c>
      <c r="I164" s="385">
        <f>Hofdung!K18</f>
        <v>0</v>
      </c>
      <c r="J164" s="388">
        <f>Hofdung!L18</f>
        <v>0</v>
      </c>
      <c r="K164" s="401">
        <f>Hofdung!M18</f>
        <v>0.15</v>
      </c>
      <c r="L164" s="385">
        <f>Hofdung!N18</f>
        <v>1</v>
      </c>
      <c r="M164" s="383" t="s">
        <v>367</v>
      </c>
      <c r="N164" s="390">
        <f t="shared" si="68"/>
        <v>0</v>
      </c>
      <c r="O164" s="391">
        <f t="shared" si="69"/>
        <v>0</v>
      </c>
      <c r="P164" s="392">
        <f t="shared" si="70"/>
        <v>0</v>
      </c>
      <c r="Q164"/>
      <c r="R164"/>
      <c r="S164" s="1607"/>
      <c r="T164" s="1750" t="s">
        <v>780</v>
      </c>
      <c r="U164" s="1607"/>
      <c r="V164" s="1607"/>
      <c r="W164" s="1607"/>
      <c r="X164" s="1607"/>
      <c r="Y164" s="1607"/>
      <c r="Z164" s="1607"/>
      <c r="AA164" s="1607"/>
      <c r="AB164" s="1607"/>
      <c r="AC164" s="1607"/>
      <c r="AD164" s="1607"/>
      <c r="AE164" s="1607"/>
      <c r="AF164" s="1608"/>
      <c r="AG164" s="1609"/>
      <c r="AH164" s="1610"/>
      <c r="AI164" s="1610"/>
      <c r="AJ164" s="1611" t="str">
        <f>Düngeplanung!Z14</f>
        <v>Geplante / vorhandene Mineraldünger</v>
      </c>
      <c r="AK164"/>
      <c r="AO164" s="9"/>
      <c r="AQ164" s="9"/>
      <c r="AR164" s="9"/>
    </row>
    <row r="165" spans="1:44">
      <c r="A165" s="1">
        <v>4</v>
      </c>
      <c r="B165" s="102"/>
      <c r="C165" s="381" t="str">
        <f>IF(ISTEXT(Hofdung!B21),Hofdung!B21,Hofdung!A21)</f>
        <v>Biogasgülle 1</v>
      </c>
      <c r="D165" s="384">
        <f>Hofdung!F21</f>
        <v>0</v>
      </c>
      <c r="E165" s="384">
        <f t="shared" ref="E165:E224" si="75">D165</f>
        <v>0</v>
      </c>
      <c r="F165" s="385">
        <f>Hofdung!H21</f>
        <v>0</v>
      </c>
      <c r="G165" s="386">
        <f>Hofdung!I21</f>
        <v>0</v>
      </c>
      <c r="H165" s="387">
        <f>Hofdung!J21</f>
        <v>0</v>
      </c>
      <c r="I165" s="385">
        <f>Hofdung!K21</f>
        <v>0</v>
      </c>
      <c r="J165" s="388">
        <f>Hofdung!L21</f>
        <v>0</v>
      </c>
      <c r="K165" s="389">
        <f>Hofdung!M21</f>
        <v>0</v>
      </c>
      <c r="L165" s="385">
        <f>Hofdung!N21</f>
        <v>0</v>
      </c>
      <c r="M165" s="386" t="str">
        <f>Hofdung!O21</f>
        <v>WD</v>
      </c>
      <c r="N165" s="390">
        <f t="shared" si="68"/>
        <v>0</v>
      </c>
      <c r="O165" s="391">
        <f t="shared" si="69"/>
        <v>0</v>
      </c>
      <c r="P165" s="392">
        <f t="shared" si="70"/>
        <v>0</v>
      </c>
      <c r="S165" s="1605"/>
      <c r="T165" s="1606">
        <f>Düngeplanung!Z15</f>
        <v>0</v>
      </c>
      <c r="U165" s="1684">
        <f t="shared" ref="U165:U177" si="76">IF(T165=0,0,VLOOKUP(T165,$C$158:$P$225,2,0))</f>
        <v>0</v>
      </c>
      <c r="V165" s="1685">
        <f t="shared" ref="V165:V172" si="77">IF(ISNA($U165),0,U165)</f>
        <v>0</v>
      </c>
      <c r="W165" s="1686">
        <f t="shared" ref="W165:W172" si="78">IF($T165=0,0,VLOOKUP(T165,$C$158:$P$225,3,0))</f>
        <v>0</v>
      </c>
      <c r="X165" s="1684">
        <f t="shared" ref="X165:X172" si="79">IF($T165=0,0,VLOOKUP(T165,$C$158:$P$225,4,0))</f>
        <v>0</v>
      </c>
      <c r="Y165" s="1685">
        <f t="shared" ref="Y165:Y172" si="80">IF($T165=0,0,VLOOKUP(T165,$C$158:$P$225,5,0))</f>
        <v>0</v>
      </c>
      <c r="Z165" s="1687">
        <f t="shared" ref="Z165:Z172" si="81">IF($T165=0,0,VLOOKUP(T165,$C$158:$P$225,6,0))</f>
        <v>0</v>
      </c>
      <c r="AA165" s="1688">
        <f t="shared" ref="AA165:AA172" si="82">IF($T165=0,0,VLOOKUP(T165,$C$158:$P$225,7,0))</f>
        <v>0</v>
      </c>
      <c r="AB165" s="1689">
        <f t="shared" ref="AB165:AB172" si="83">IF($T165=0,0,VLOOKUP(T165,$C$158:$P$225,8,0))</f>
        <v>0</v>
      </c>
      <c r="AC165" s="1685">
        <f t="shared" ref="AC165:AC172" si="84">IF($T165=0,0,VLOOKUP(T165,$C$158:$P$225,9,0))</f>
        <v>0</v>
      </c>
      <c r="AD165" s="1690">
        <f t="shared" ref="AD165:AD172" si="85">IF($T165=0,0,VLOOKUP(T165,$C$158:$P$225,10,0))</f>
        <v>0</v>
      </c>
      <c r="AE165" s="1685">
        <f t="shared" ref="AE165:AE172" si="86">IF($T165=0,0,VLOOKUP(T165,$C$158:$P$225,11,0))</f>
        <v>0</v>
      </c>
      <c r="AF165" s="390">
        <f t="shared" ref="AF165:AH172" si="87">$W165*Z165</f>
        <v>0</v>
      </c>
      <c r="AG165" s="391">
        <f t="shared" si="87"/>
        <v>0</v>
      </c>
      <c r="AH165" s="392">
        <f t="shared" si="87"/>
        <v>0</v>
      </c>
      <c r="AI165" s="1696">
        <f>Düngeplanung!AB15</f>
        <v>0</v>
      </c>
      <c r="AJ165" s="9"/>
      <c r="AK165"/>
      <c r="AO165" s="9"/>
      <c r="AQ165" s="9"/>
      <c r="AR165" s="9"/>
    </row>
    <row r="166" spans="1:44" ht="12.75" customHeight="1">
      <c r="A166" s="1">
        <v>5</v>
      </c>
      <c r="B166" s="102"/>
      <c r="C166" s="381" t="str">
        <f>IF(ISTEXT(Hofdung!B22),Hofdung!B22,Hofdung!A22)</f>
        <v>Biogasgülle 2</v>
      </c>
      <c r="D166" s="384">
        <f>Hofdung!F22</f>
        <v>0</v>
      </c>
      <c r="E166" s="384">
        <f t="shared" si="75"/>
        <v>0</v>
      </c>
      <c r="F166" s="385">
        <f>Hofdung!H22</f>
        <v>0</v>
      </c>
      <c r="G166" s="386">
        <f>Hofdung!I22</f>
        <v>0</v>
      </c>
      <c r="H166" s="387">
        <f>Hofdung!J22</f>
        <v>0</v>
      </c>
      <c r="I166" s="385">
        <f>Hofdung!K22</f>
        <v>0</v>
      </c>
      <c r="J166" s="388">
        <f>Hofdung!L22</f>
        <v>0</v>
      </c>
      <c r="K166" s="389">
        <f>Hofdung!M22</f>
        <v>0</v>
      </c>
      <c r="L166" s="385">
        <f>Hofdung!N22</f>
        <v>0</v>
      </c>
      <c r="M166" s="386" t="str">
        <f>Hofdung!O22</f>
        <v>WD</v>
      </c>
      <c r="N166" s="390">
        <f t="shared" si="68"/>
        <v>0</v>
      </c>
      <c r="O166" s="391">
        <f t="shared" si="69"/>
        <v>0</v>
      </c>
      <c r="P166" s="392">
        <f t="shared" si="70"/>
        <v>0</v>
      </c>
      <c r="S166" s="1605"/>
      <c r="T166" s="1606">
        <f>Düngeplanung!Z16</f>
        <v>0</v>
      </c>
      <c r="U166" s="1684">
        <f t="shared" si="76"/>
        <v>0</v>
      </c>
      <c r="V166" s="1685">
        <f t="shared" si="77"/>
        <v>0</v>
      </c>
      <c r="W166" s="1686">
        <f t="shared" si="78"/>
        <v>0</v>
      </c>
      <c r="X166" s="1684">
        <f t="shared" si="79"/>
        <v>0</v>
      </c>
      <c r="Y166" s="1685">
        <f t="shared" si="80"/>
        <v>0</v>
      </c>
      <c r="Z166" s="1687">
        <f t="shared" si="81"/>
        <v>0</v>
      </c>
      <c r="AA166" s="1688">
        <f t="shared" si="82"/>
        <v>0</v>
      </c>
      <c r="AB166" s="1689">
        <f t="shared" si="83"/>
        <v>0</v>
      </c>
      <c r="AC166" s="1685">
        <f t="shared" si="84"/>
        <v>0</v>
      </c>
      <c r="AD166" s="1690">
        <f t="shared" si="85"/>
        <v>0</v>
      </c>
      <c r="AE166" s="1685">
        <f t="shared" si="86"/>
        <v>0</v>
      </c>
      <c r="AF166" s="390">
        <f t="shared" si="87"/>
        <v>0</v>
      </c>
      <c r="AG166" s="391">
        <f t="shared" si="87"/>
        <v>0</v>
      </c>
      <c r="AH166" s="392">
        <f t="shared" si="87"/>
        <v>0</v>
      </c>
      <c r="AI166" s="1696">
        <f>Düngeplanung!AB16</f>
        <v>0</v>
      </c>
      <c r="AJ166" s="9"/>
      <c r="AK166"/>
      <c r="AO166" s="9"/>
      <c r="AQ166" s="9"/>
      <c r="AR166" s="9"/>
    </row>
    <row r="167" spans="1:44">
      <c r="A167" s="1">
        <v>6</v>
      </c>
      <c r="B167" s="102"/>
      <c r="C167" s="381" t="str">
        <f>IF(ISTEXT(Hofdung!B23),Hofdung!B23,Hofdung!A23)</f>
        <v>Biogasgülle 3</v>
      </c>
      <c r="D167" s="384">
        <f>Hofdung!F23</f>
        <v>0</v>
      </c>
      <c r="E167" s="384">
        <f t="shared" si="75"/>
        <v>0</v>
      </c>
      <c r="F167" s="385">
        <f>Hofdung!H23</f>
        <v>0</v>
      </c>
      <c r="G167" s="386">
        <f>Hofdung!I23</f>
        <v>0</v>
      </c>
      <c r="H167" s="387">
        <f>Hofdung!J23</f>
        <v>0</v>
      </c>
      <c r="I167" s="385">
        <f>Hofdung!K23</f>
        <v>0</v>
      </c>
      <c r="J167" s="388">
        <f>Hofdung!L23</f>
        <v>0</v>
      </c>
      <c r="K167" s="389">
        <f>Hofdung!M23</f>
        <v>0</v>
      </c>
      <c r="L167" s="385">
        <f>Hofdung!N23</f>
        <v>0</v>
      </c>
      <c r="M167" s="386" t="str">
        <f>Hofdung!O23</f>
        <v>WD</v>
      </c>
      <c r="N167" s="390">
        <f t="shared" si="68"/>
        <v>0</v>
      </c>
      <c r="O167" s="391">
        <f t="shared" si="69"/>
        <v>0</v>
      </c>
      <c r="P167" s="392">
        <f t="shared" si="70"/>
        <v>0</v>
      </c>
      <c r="S167" s="1605"/>
      <c r="T167" s="1606">
        <f>Düngeplanung!Z17</f>
        <v>0</v>
      </c>
      <c r="U167" s="1684">
        <f t="shared" si="76"/>
        <v>0</v>
      </c>
      <c r="V167" s="1685">
        <f t="shared" si="77"/>
        <v>0</v>
      </c>
      <c r="W167" s="1686">
        <f t="shared" si="78"/>
        <v>0</v>
      </c>
      <c r="X167" s="1684">
        <f t="shared" si="79"/>
        <v>0</v>
      </c>
      <c r="Y167" s="1685">
        <f t="shared" si="80"/>
        <v>0</v>
      </c>
      <c r="Z167" s="1687">
        <f t="shared" si="81"/>
        <v>0</v>
      </c>
      <c r="AA167" s="1688">
        <f t="shared" si="82"/>
        <v>0</v>
      </c>
      <c r="AB167" s="1689">
        <f t="shared" si="83"/>
        <v>0</v>
      </c>
      <c r="AC167" s="1685">
        <f t="shared" si="84"/>
        <v>0</v>
      </c>
      <c r="AD167" s="1690">
        <f t="shared" si="85"/>
        <v>0</v>
      </c>
      <c r="AE167" s="1685">
        <f t="shared" si="86"/>
        <v>0</v>
      </c>
      <c r="AF167" s="390">
        <f t="shared" si="87"/>
        <v>0</v>
      </c>
      <c r="AG167" s="391">
        <f t="shared" si="87"/>
        <v>0</v>
      </c>
      <c r="AH167" s="392">
        <f t="shared" si="87"/>
        <v>0</v>
      </c>
      <c r="AI167" s="1696">
        <f>Düngeplanung!AB17</f>
        <v>0</v>
      </c>
      <c r="AJ167" s="9"/>
      <c r="AK167"/>
      <c r="AO167" s="9"/>
      <c r="AQ167" s="9"/>
      <c r="AR167" s="9"/>
    </row>
    <row r="168" spans="1:44">
      <c r="A168" s="1">
        <v>7</v>
      </c>
      <c r="B168" s="102"/>
      <c r="C168" s="381" t="str">
        <f>IF(ISTEXT(Hofdung!B24),Hofdung!B24,Hofdung!A24)</f>
        <v>Biogasgülle 4</v>
      </c>
      <c r="D168" s="384">
        <f>Hofdung!F24</f>
        <v>0</v>
      </c>
      <c r="E168" s="384">
        <f t="shared" si="75"/>
        <v>0</v>
      </c>
      <c r="F168" s="385">
        <f>Hofdung!H24</f>
        <v>0</v>
      </c>
      <c r="G168" s="386">
        <f>Hofdung!I24</f>
        <v>0</v>
      </c>
      <c r="H168" s="387">
        <f>Hofdung!J24</f>
        <v>0</v>
      </c>
      <c r="I168" s="385">
        <f>Hofdung!K24</f>
        <v>0</v>
      </c>
      <c r="J168" s="388">
        <f>Hofdung!L24</f>
        <v>0</v>
      </c>
      <c r="K168" s="389">
        <f>Hofdung!M24</f>
        <v>0</v>
      </c>
      <c r="L168" s="385">
        <f>Hofdung!N24</f>
        <v>0</v>
      </c>
      <c r="M168" s="386" t="str">
        <f>Hofdung!O24</f>
        <v>WD</v>
      </c>
      <c r="N168" s="390">
        <f t="shared" si="68"/>
        <v>0</v>
      </c>
      <c r="O168" s="391">
        <f t="shared" si="69"/>
        <v>0</v>
      </c>
      <c r="P168" s="392">
        <f t="shared" si="70"/>
        <v>0</v>
      </c>
      <c r="S168" s="1605"/>
      <c r="T168" s="1606">
        <f>Düngeplanung!Z18</f>
        <v>0</v>
      </c>
      <c r="U168" s="1684">
        <f t="shared" si="76"/>
        <v>0</v>
      </c>
      <c r="V168" s="1685">
        <f t="shared" si="77"/>
        <v>0</v>
      </c>
      <c r="W168" s="1686">
        <f t="shared" si="78"/>
        <v>0</v>
      </c>
      <c r="X168" s="1684">
        <f t="shared" si="79"/>
        <v>0</v>
      </c>
      <c r="Y168" s="1685">
        <f t="shared" si="80"/>
        <v>0</v>
      </c>
      <c r="Z168" s="1687">
        <f t="shared" si="81"/>
        <v>0</v>
      </c>
      <c r="AA168" s="1688">
        <f t="shared" si="82"/>
        <v>0</v>
      </c>
      <c r="AB168" s="1689">
        <f t="shared" si="83"/>
        <v>0</v>
      </c>
      <c r="AC168" s="1685">
        <f t="shared" si="84"/>
        <v>0</v>
      </c>
      <c r="AD168" s="1690">
        <f t="shared" si="85"/>
        <v>0</v>
      </c>
      <c r="AE168" s="1685">
        <f t="shared" si="86"/>
        <v>0</v>
      </c>
      <c r="AF168" s="390">
        <f t="shared" si="87"/>
        <v>0</v>
      </c>
      <c r="AG168" s="391">
        <f t="shared" si="87"/>
        <v>0</v>
      </c>
      <c r="AH168" s="392">
        <f t="shared" si="87"/>
        <v>0</v>
      </c>
      <c r="AI168" s="1696">
        <f>Düngeplanung!AB18</f>
        <v>0</v>
      </c>
      <c r="AK168"/>
      <c r="AO168" s="9"/>
      <c r="AQ168" s="9"/>
      <c r="AR168" s="9"/>
    </row>
    <row r="169" spans="1:44">
      <c r="A169" s="1">
        <v>8</v>
      </c>
      <c r="B169" s="102"/>
      <c r="C169" s="381" t="str">
        <f>IF(ISTEXT(Hofdung!B25),Hofdung!B25,Hofdung!A25)</f>
        <v>Biogasfeststoff 1</v>
      </c>
      <c r="D169" s="384">
        <f>Hofdung!F25</f>
        <v>0</v>
      </c>
      <c r="E169" s="384">
        <f t="shared" si="75"/>
        <v>0</v>
      </c>
      <c r="F169" s="385">
        <f>Hofdung!H25</f>
        <v>0</v>
      </c>
      <c r="G169" s="386">
        <f>Hofdung!I25</f>
        <v>0</v>
      </c>
      <c r="H169" s="387">
        <f>Hofdung!J25</f>
        <v>0</v>
      </c>
      <c r="I169" s="385">
        <f>Hofdung!K25</f>
        <v>0</v>
      </c>
      <c r="J169" s="388">
        <f>Hofdung!L25</f>
        <v>0</v>
      </c>
      <c r="K169" s="389">
        <f>Hofdung!M25</f>
        <v>0</v>
      </c>
      <c r="L169" s="385">
        <f>Hofdung!N25</f>
        <v>0</v>
      </c>
      <c r="M169" s="386" t="str">
        <f>Hofdung!O25</f>
        <v>WD</v>
      </c>
      <c r="N169" s="390">
        <f t="shared" si="68"/>
        <v>0</v>
      </c>
      <c r="O169" s="391">
        <f t="shared" si="69"/>
        <v>0</v>
      </c>
      <c r="P169" s="392">
        <f t="shared" si="70"/>
        <v>0</v>
      </c>
      <c r="S169" s="1605"/>
      <c r="T169" s="1606">
        <f>Düngeplanung!Z19</f>
        <v>0</v>
      </c>
      <c r="U169" s="1684">
        <f t="shared" si="76"/>
        <v>0</v>
      </c>
      <c r="V169" s="1685">
        <f t="shared" si="77"/>
        <v>0</v>
      </c>
      <c r="W169" s="1686">
        <f t="shared" si="78"/>
        <v>0</v>
      </c>
      <c r="X169" s="1684">
        <f t="shared" si="79"/>
        <v>0</v>
      </c>
      <c r="Y169" s="1685">
        <f t="shared" si="80"/>
        <v>0</v>
      </c>
      <c r="Z169" s="1687">
        <f t="shared" si="81"/>
        <v>0</v>
      </c>
      <c r="AA169" s="1688">
        <f t="shared" si="82"/>
        <v>0</v>
      </c>
      <c r="AB169" s="1689">
        <f t="shared" si="83"/>
        <v>0</v>
      </c>
      <c r="AC169" s="1685">
        <f t="shared" si="84"/>
        <v>0</v>
      </c>
      <c r="AD169" s="1690">
        <f t="shared" si="85"/>
        <v>0</v>
      </c>
      <c r="AE169" s="1685">
        <f t="shared" si="86"/>
        <v>0</v>
      </c>
      <c r="AF169" s="390">
        <f t="shared" si="87"/>
        <v>0</v>
      </c>
      <c r="AG169" s="391">
        <f t="shared" si="87"/>
        <v>0</v>
      </c>
      <c r="AH169" s="392">
        <f t="shared" si="87"/>
        <v>0</v>
      </c>
      <c r="AI169" s="1696">
        <f>Düngeplanung!AB19</f>
        <v>0</v>
      </c>
      <c r="AK169"/>
      <c r="AO169" s="9"/>
      <c r="AQ169" s="9"/>
      <c r="AR169" s="9"/>
    </row>
    <row r="170" spans="1:44">
      <c r="A170" s="1">
        <v>9</v>
      </c>
      <c r="B170" s="102"/>
      <c r="C170" s="381" t="str">
        <f>IF(ISTEXT(Hofdung!B26),Hofdung!B26,Hofdung!A26)</f>
        <v>Biogasfeststoff 2</v>
      </c>
      <c r="D170" s="384">
        <f>Hofdung!F26</f>
        <v>0</v>
      </c>
      <c r="E170" s="384">
        <f t="shared" si="75"/>
        <v>0</v>
      </c>
      <c r="F170" s="385">
        <f>Hofdung!H26</f>
        <v>0</v>
      </c>
      <c r="G170" s="386">
        <f>Hofdung!I26</f>
        <v>0</v>
      </c>
      <c r="H170" s="387">
        <f>Hofdung!J26</f>
        <v>0</v>
      </c>
      <c r="I170" s="385">
        <f>Hofdung!K26</f>
        <v>0</v>
      </c>
      <c r="J170" s="388">
        <f>Hofdung!L26</f>
        <v>0</v>
      </c>
      <c r="K170" s="389">
        <f>Hofdung!M26</f>
        <v>0</v>
      </c>
      <c r="L170" s="385">
        <f>Hofdung!N26</f>
        <v>0</v>
      </c>
      <c r="M170" s="386" t="str">
        <f>Hofdung!O26</f>
        <v>WD</v>
      </c>
      <c r="N170" s="390">
        <f t="shared" si="68"/>
        <v>0</v>
      </c>
      <c r="O170" s="391">
        <f t="shared" si="69"/>
        <v>0</v>
      </c>
      <c r="P170" s="392">
        <f t="shared" si="70"/>
        <v>0</v>
      </c>
      <c r="S170" s="1605"/>
      <c r="T170" s="1606">
        <f>Düngeplanung!Z20</f>
        <v>0</v>
      </c>
      <c r="U170" s="1684">
        <f t="shared" si="76"/>
        <v>0</v>
      </c>
      <c r="V170" s="1685">
        <f t="shared" si="77"/>
        <v>0</v>
      </c>
      <c r="W170" s="1686">
        <f t="shared" si="78"/>
        <v>0</v>
      </c>
      <c r="X170" s="1684">
        <f t="shared" si="79"/>
        <v>0</v>
      </c>
      <c r="Y170" s="1685">
        <f t="shared" si="80"/>
        <v>0</v>
      </c>
      <c r="Z170" s="1687">
        <f t="shared" si="81"/>
        <v>0</v>
      </c>
      <c r="AA170" s="1688">
        <f t="shared" si="82"/>
        <v>0</v>
      </c>
      <c r="AB170" s="1689">
        <f t="shared" si="83"/>
        <v>0</v>
      </c>
      <c r="AC170" s="1685">
        <f t="shared" si="84"/>
        <v>0</v>
      </c>
      <c r="AD170" s="1690">
        <f t="shared" si="85"/>
        <v>0</v>
      </c>
      <c r="AE170" s="1685">
        <f t="shared" si="86"/>
        <v>0</v>
      </c>
      <c r="AF170" s="390">
        <f t="shared" si="87"/>
        <v>0</v>
      </c>
      <c r="AG170" s="391">
        <f t="shared" si="87"/>
        <v>0</v>
      </c>
      <c r="AH170" s="392">
        <f t="shared" si="87"/>
        <v>0</v>
      </c>
      <c r="AI170" s="1696">
        <f>Düngeplanung!AB20</f>
        <v>0</v>
      </c>
      <c r="AK170"/>
      <c r="AO170" s="9"/>
      <c r="AQ170" s="9"/>
      <c r="AR170" s="9"/>
    </row>
    <row r="171" spans="1:44">
      <c r="A171" s="1">
        <v>10</v>
      </c>
      <c r="B171" s="102"/>
      <c r="C171" s="381" t="str">
        <f>IF(ISTEXT(Hofdung!B27),Hofdung!B27,Hofdung!A27)</f>
        <v>Biogasfeststoff 3</v>
      </c>
      <c r="D171" s="384">
        <f>Hofdung!F27</f>
        <v>0</v>
      </c>
      <c r="E171" s="384">
        <f t="shared" si="75"/>
        <v>0</v>
      </c>
      <c r="F171" s="385">
        <f>Hofdung!H27</f>
        <v>0</v>
      </c>
      <c r="G171" s="386">
        <f>Hofdung!I27</f>
        <v>0</v>
      </c>
      <c r="H171" s="387">
        <f>Hofdung!J27</f>
        <v>0</v>
      </c>
      <c r="I171" s="385">
        <f>Hofdung!K27</f>
        <v>0</v>
      </c>
      <c r="J171" s="388">
        <f>Hofdung!L27</f>
        <v>0</v>
      </c>
      <c r="K171" s="389">
        <f>Hofdung!M27</f>
        <v>0</v>
      </c>
      <c r="L171" s="385">
        <f>Hofdung!N27</f>
        <v>0</v>
      </c>
      <c r="M171" s="386" t="str">
        <f>Hofdung!O27</f>
        <v>WD</v>
      </c>
      <c r="N171" s="390">
        <f t="shared" si="68"/>
        <v>0</v>
      </c>
      <c r="O171" s="391">
        <f t="shared" si="69"/>
        <v>0</v>
      </c>
      <c r="P171" s="392">
        <f t="shared" si="70"/>
        <v>0</v>
      </c>
      <c r="S171" s="1605"/>
      <c r="T171" s="1606">
        <f>Düngeplanung!Z21</f>
        <v>0</v>
      </c>
      <c r="U171" s="1684">
        <f t="shared" si="76"/>
        <v>0</v>
      </c>
      <c r="V171" s="1685">
        <f t="shared" si="77"/>
        <v>0</v>
      </c>
      <c r="W171" s="1686">
        <f t="shared" si="78"/>
        <v>0</v>
      </c>
      <c r="X171" s="1684">
        <f t="shared" si="79"/>
        <v>0</v>
      </c>
      <c r="Y171" s="1685">
        <f t="shared" si="80"/>
        <v>0</v>
      </c>
      <c r="Z171" s="1687">
        <f t="shared" si="81"/>
        <v>0</v>
      </c>
      <c r="AA171" s="1688">
        <f t="shared" si="82"/>
        <v>0</v>
      </c>
      <c r="AB171" s="1689">
        <f t="shared" si="83"/>
        <v>0</v>
      </c>
      <c r="AC171" s="1685">
        <f t="shared" si="84"/>
        <v>0</v>
      </c>
      <c r="AD171" s="1690">
        <f t="shared" si="85"/>
        <v>0</v>
      </c>
      <c r="AE171" s="1685">
        <f t="shared" si="86"/>
        <v>0</v>
      </c>
      <c r="AF171" s="390">
        <f t="shared" si="87"/>
        <v>0</v>
      </c>
      <c r="AG171" s="391">
        <f t="shared" si="87"/>
        <v>0</v>
      </c>
      <c r="AH171" s="392">
        <f t="shared" si="87"/>
        <v>0</v>
      </c>
      <c r="AI171" s="1696">
        <f>Düngeplanung!AB21</f>
        <v>0</v>
      </c>
      <c r="AK171"/>
      <c r="AO171" s="9"/>
      <c r="AQ171" s="9"/>
      <c r="AR171" s="9"/>
    </row>
    <row r="172" spans="1:44" ht="13.5" thickBot="1">
      <c r="A172" s="1">
        <v>11</v>
      </c>
      <c r="B172" s="102"/>
      <c r="C172" s="381" t="str">
        <f>IF(ISTEXT(Hofdung!B28),Hofdung!B28,Hofdung!A28)</f>
        <v>Sek. Rohstoffe 1</v>
      </c>
      <c r="D172" s="384">
        <f>Hofdung!F28</f>
        <v>0</v>
      </c>
      <c r="E172" s="384">
        <f t="shared" si="75"/>
        <v>0</v>
      </c>
      <c r="F172" s="385">
        <f>Hofdung!H28</f>
        <v>0</v>
      </c>
      <c r="G172" s="386">
        <f>Hofdung!I28</f>
        <v>0</v>
      </c>
      <c r="H172" s="387">
        <f>Hofdung!J28</f>
        <v>0</v>
      </c>
      <c r="I172" s="385">
        <f>Hofdung!K28</f>
        <v>0</v>
      </c>
      <c r="J172" s="388">
        <f>Hofdung!L28</f>
        <v>0</v>
      </c>
      <c r="K172" s="389">
        <f>Hofdung!M28</f>
        <v>0</v>
      </c>
      <c r="L172" s="385">
        <f>Hofdung!N28</f>
        <v>0</v>
      </c>
      <c r="M172" s="386" t="str">
        <f>Hofdung!O28</f>
        <v>WD</v>
      </c>
      <c r="N172" s="390">
        <f t="shared" si="68"/>
        <v>0</v>
      </c>
      <c r="O172" s="391">
        <f t="shared" si="69"/>
        <v>0</v>
      </c>
      <c r="P172" s="392">
        <f t="shared" si="70"/>
        <v>0</v>
      </c>
      <c r="S172" s="1605"/>
      <c r="T172" s="1606">
        <f>Düngeplanung!Z22</f>
        <v>0</v>
      </c>
      <c r="U172" s="1684">
        <f t="shared" si="76"/>
        <v>0</v>
      </c>
      <c r="V172" s="1685">
        <f t="shared" si="77"/>
        <v>0</v>
      </c>
      <c r="W172" s="1686">
        <f t="shared" si="78"/>
        <v>0</v>
      </c>
      <c r="X172" s="1684">
        <f t="shared" si="79"/>
        <v>0</v>
      </c>
      <c r="Y172" s="1685">
        <f t="shared" si="80"/>
        <v>0</v>
      </c>
      <c r="Z172" s="1687">
        <f t="shared" si="81"/>
        <v>0</v>
      </c>
      <c r="AA172" s="1688">
        <f t="shared" si="82"/>
        <v>0</v>
      </c>
      <c r="AB172" s="1689">
        <f t="shared" si="83"/>
        <v>0</v>
      </c>
      <c r="AC172" s="1685">
        <f t="shared" si="84"/>
        <v>0</v>
      </c>
      <c r="AD172" s="1690">
        <f t="shared" si="85"/>
        <v>0</v>
      </c>
      <c r="AE172" s="1685">
        <f t="shared" si="86"/>
        <v>0</v>
      </c>
      <c r="AF172" s="390">
        <f t="shared" si="87"/>
        <v>0</v>
      </c>
      <c r="AG172" s="391">
        <f t="shared" si="87"/>
        <v>0</v>
      </c>
      <c r="AH172" s="392">
        <f t="shared" si="87"/>
        <v>0</v>
      </c>
      <c r="AI172" s="1696">
        <f>Düngeplanung!AB22</f>
        <v>0</v>
      </c>
      <c r="AK172"/>
      <c r="AO172" s="9"/>
      <c r="AQ172" s="9"/>
      <c r="AR172" s="9"/>
    </row>
    <row r="173" spans="1:44">
      <c r="A173" s="1">
        <v>12</v>
      </c>
      <c r="B173" s="102"/>
      <c r="C173" s="381" t="str">
        <f>IF(ISTEXT(Hofdung!B29),Hofdung!B29,Hofdung!A29)</f>
        <v>Sek. Rohstoffe 2</v>
      </c>
      <c r="D173" s="384">
        <f>Hofdung!F29</f>
        <v>0</v>
      </c>
      <c r="E173" s="384">
        <f t="shared" si="75"/>
        <v>0</v>
      </c>
      <c r="F173" s="385">
        <f>Hofdung!H29</f>
        <v>0</v>
      </c>
      <c r="G173" s="386">
        <f>Hofdung!I29</f>
        <v>0</v>
      </c>
      <c r="H173" s="387">
        <f>Hofdung!J29</f>
        <v>0</v>
      </c>
      <c r="I173" s="385">
        <f>Hofdung!K29</f>
        <v>0</v>
      </c>
      <c r="J173" s="388">
        <f>Hofdung!L29</f>
        <v>0</v>
      </c>
      <c r="K173" s="389">
        <f>Hofdung!M29</f>
        <v>0</v>
      </c>
      <c r="L173" s="385">
        <f>Hofdung!N29</f>
        <v>0</v>
      </c>
      <c r="M173" s="386" t="str">
        <f>Hofdung!O29</f>
        <v>WD</v>
      </c>
      <c r="N173" s="390">
        <f t="shared" si="68"/>
        <v>0</v>
      </c>
      <c r="O173" s="391">
        <f t="shared" si="69"/>
        <v>0</v>
      </c>
      <c r="P173" s="1704">
        <f t="shared" si="70"/>
        <v>0</v>
      </c>
      <c r="Q173" s="1709" t="s">
        <v>368</v>
      </c>
      <c r="R173" s="1710" t="s">
        <v>369</v>
      </c>
      <c r="S173" s="1750"/>
      <c r="T173" s="1750" t="s">
        <v>1759</v>
      </c>
      <c r="U173" s="1607"/>
      <c r="V173" s="1607"/>
      <c r="W173" s="1607"/>
      <c r="X173" s="1607"/>
      <c r="Y173" s="1607"/>
      <c r="Z173" s="1607"/>
      <c r="AA173" s="1607"/>
      <c r="AB173" s="1607"/>
      <c r="AC173" s="1607"/>
      <c r="AD173" s="1607"/>
      <c r="AE173" s="1607"/>
      <c r="AF173" s="1608"/>
      <c r="AG173" s="1609"/>
      <c r="AH173" s="1610"/>
      <c r="AI173" s="1610"/>
      <c r="AJ173" s="1611" t="str">
        <f>Düngeplanung!Z23</f>
        <v>Sonstige organische Dünger</v>
      </c>
      <c r="AK173"/>
      <c r="AO173" s="9"/>
      <c r="AQ173" s="9"/>
      <c r="AR173" s="9"/>
    </row>
    <row r="174" spans="1:44">
      <c r="A174" s="1">
        <v>13</v>
      </c>
      <c r="B174" s="102"/>
      <c r="C174" s="381" t="str">
        <f>IF(ISTEXT(Hofdung!B30),Hofdung!B30,Hofdung!A30)</f>
        <v>Sek. Rohstoffe 3</v>
      </c>
      <c r="D174" s="384">
        <f>Hofdung!F30</f>
        <v>0</v>
      </c>
      <c r="E174" s="384">
        <f t="shared" si="75"/>
        <v>0</v>
      </c>
      <c r="F174" s="385">
        <f>Hofdung!H30</f>
        <v>0</v>
      </c>
      <c r="G174" s="386">
        <f>Hofdung!I30</f>
        <v>0</v>
      </c>
      <c r="H174" s="387">
        <f>Hofdung!J30</f>
        <v>0</v>
      </c>
      <c r="I174" s="385">
        <f>Hofdung!K30</f>
        <v>0</v>
      </c>
      <c r="J174" s="388">
        <f>Hofdung!L30</f>
        <v>0</v>
      </c>
      <c r="K174" s="389">
        <f>Hofdung!M30</f>
        <v>0</v>
      </c>
      <c r="L174" s="385">
        <f>Hofdung!N30</f>
        <v>0</v>
      </c>
      <c r="M174" s="386" t="str">
        <f>Hofdung!O30</f>
        <v>WD</v>
      </c>
      <c r="N174" s="390">
        <f t="shared" si="68"/>
        <v>0</v>
      </c>
      <c r="O174" s="391">
        <f t="shared" si="69"/>
        <v>0</v>
      </c>
      <c r="P174" s="1704">
        <f t="shared" si="70"/>
        <v>0</v>
      </c>
      <c r="Q174" s="3130" t="s">
        <v>1757</v>
      </c>
      <c r="R174" s="3131"/>
      <c r="S174" s="1706"/>
      <c r="T174" s="1606">
        <f>Düngeplanung!Z24</f>
        <v>0</v>
      </c>
      <c r="U174" s="1684">
        <f t="shared" si="76"/>
        <v>0</v>
      </c>
      <c r="V174" s="1685">
        <f>IF(ISNA($U174),0,U174)</f>
        <v>0</v>
      </c>
      <c r="W174" s="1686">
        <f>IF($T174=0,0,VLOOKUP(T174,$C$158:$P$225,3,0))</f>
        <v>0</v>
      </c>
      <c r="X174" s="1684">
        <f>IF($T174=0,0,VLOOKUP(T174,$C$158:$P$225,4,0))</f>
        <v>0</v>
      </c>
      <c r="Y174" s="1685">
        <f>IF($T174=0,0,VLOOKUP(T174,$C$158:$P$225,5,0))</f>
        <v>0</v>
      </c>
      <c r="Z174" s="1687">
        <f>IF($T174=0,0,VLOOKUP(T174,$C$158:$P$225,6,0))</f>
        <v>0</v>
      </c>
      <c r="AA174" s="1688">
        <f>IF($T174=0,0,VLOOKUP(T174,$C$158:$P$225,7,0))</f>
        <v>0</v>
      </c>
      <c r="AB174" s="1689">
        <f>IF($T174=0,0,VLOOKUP(T174,$C$158:$P$225,8,0))</f>
        <v>0</v>
      </c>
      <c r="AC174" s="1685">
        <f>IF($T174=0,0,VLOOKUP(T174,$C$158:$P$225,9,0))</f>
        <v>0</v>
      </c>
      <c r="AD174" s="1690">
        <f>IF($T174=0,0,VLOOKUP(T174,$C$158:$P$225,10,0))</f>
        <v>0</v>
      </c>
      <c r="AE174" s="1685">
        <f>IF($T174=0,0,VLOOKUP(T174,$C$158:$P$225,11,0))</f>
        <v>0</v>
      </c>
      <c r="AF174" s="390">
        <f t="shared" ref="AF174:AH177" si="88">$W174*Z174</f>
        <v>0</v>
      </c>
      <c r="AG174" s="391">
        <f t="shared" si="88"/>
        <v>0</v>
      </c>
      <c r="AH174" s="392">
        <f t="shared" si="88"/>
        <v>0</v>
      </c>
      <c r="AI174" s="1696">
        <f>Düngeplanung!AB24</f>
        <v>0</v>
      </c>
      <c r="AJ174" s="131">
        <f>Düngeplanung!Z24</f>
        <v>0</v>
      </c>
      <c r="AK174"/>
      <c r="AO174" s="9"/>
      <c r="AQ174" s="9"/>
      <c r="AR174" s="9"/>
    </row>
    <row r="175" spans="1:44" ht="15" customHeight="1">
      <c r="A175" s="1">
        <v>14</v>
      </c>
      <c r="B175" s="102"/>
      <c r="C175" s="381" t="str">
        <f>CONCATENATE(A175," - ",Hofdung!B31)</f>
        <v>14 - 0</v>
      </c>
      <c r="D175" s="384">
        <f>Hofdung!F31</f>
        <v>0</v>
      </c>
      <c r="E175" s="384">
        <f t="shared" si="75"/>
        <v>0</v>
      </c>
      <c r="F175" s="385">
        <f>Hofdung!H31</f>
        <v>0</v>
      </c>
      <c r="G175" s="386">
        <f>Hofdung!I31</f>
        <v>0</v>
      </c>
      <c r="H175" s="387">
        <f>Hofdung!J31</f>
        <v>0</v>
      </c>
      <c r="I175" s="385">
        <f>Hofdung!K31</f>
        <v>0</v>
      </c>
      <c r="J175" s="388">
        <f>Hofdung!L31</f>
        <v>0</v>
      </c>
      <c r="K175" s="401">
        <f>Hofdung!M31</f>
        <v>0.5</v>
      </c>
      <c r="L175" s="385">
        <f>Hofdung!N31</f>
        <v>0</v>
      </c>
      <c r="M175" s="386" t="str">
        <f>Hofdung!O31</f>
        <v>WD</v>
      </c>
      <c r="N175" s="390">
        <f t="shared" si="68"/>
        <v>0</v>
      </c>
      <c r="O175" s="391">
        <f t="shared" si="69"/>
        <v>0</v>
      </c>
      <c r="P175" s="1704">
        <f t="shared" si="70"/>
        <v>0</v>
      </c>
      <c r="Q175" s="3132"/>
      <c r="R175" s="3133"/>
      <c r="S175" s="1706"/>
      <c r="T175" s="1606">
        <f>Düngeplanung!Z25</f>
        <v>0</v>
      </c>
      <c r="U175" s="1684">
        <f t="shared" si="76"/>
        <v>0</v>
      </c>
      <c r="V175" s="1685">
        <f>IF(ISNA($U175),0,U175)</f>
        <v>0</v>
      </c>
      <c r="W175" s="1686">
        <f>IF($T175=0,0,VLOOKUP(T175,$C$158:$P$225,3,0))</f>
        <v>0</v>
      </c>
      <c r="X175" s="1684">
        <f>IF($T175=0,0,VLOOKUP(T175,$C$158:$P$225,4,0))</f>
        <v>0</v>
      </c>
      <c r="Y175" s="1685">
        <f>IF($T175=0,0,VLOOKUP(T175,$C$158:$P$225,5,0))</f>
        <v>0</v>
      </c>
      <c r="Z175" s="1687">
        <f>IF($T175=0,0,VLOOKUP(T175,$C$158:$P$225,6,0))</f>
        <v>0</v>
      </c>
      <c r="AA175" s="1688">
        <f>IF($T175=0,0,VLOOKUP(T175,$C$158:$P$225,7,0))</f>
        <v>0</v>
      </c>
      <c r="AB175" s="1689">
        <f>IF($T175=0,0,VLOOKUP(T175,$C$158:$P$225,8,0))</f>
        <v>0</v>
      </c>
      <c r="AC175" s="1685">
        <f>IF($T175=0,0,VLOOKUP(T175,$C$158:$P$225,9,0))</f>
        <v>0</v>
      </c>
      <c r="AD175" s="1690">
        <f>IF($T175=0,0,VLOOKUP(T175,$C$158:$P$225,10,0))</f>
        <v>0</v>
      </c>
      <c r="AE175" s="1685">
        <f>IF($T175=0,0,VLOOKUP(T175,$C$158:$P$225,11,0))</f>
        <v>0</v>
      </c>
      <c r="AF175" s="390">
        <f t="shared" si="88"/>
        <v>0</v>
      </c>
      <c r="AG175" s="391">
        <f t="shared" si="88"/>
        <v>0</v>
      </c>
      <c r="AH175" s="392">
        <f t="shared" si="88"/>
        <v>0</v>
      </c>
      <c r="AI175" s="1696">
        <f>Düngeplanung!AB25</f>
        <v>0</v>
      </c>
      <c r="AJ175" s="131">
        <f>Düngeplanung!Z25</f>
        <v>0</v>
      </c>
      <c r="AK175"/>
      <c r="AO175" s="9"/>
      <c r="AQ175" s="9"/>
      <c r="AR175" s="9"/>
    </row>
    <row r="176" spans="1:44" ht="15" customHeight="1">
      <c r="A176" s="1">
        <v>15</v>
      </c>
      <c r="B176" s="102"/>
      <c r="C176" s="381" t="str">
        <f>CONCATENATE(A176," - ",Hofdung!B32)</f>
        <v>15 - 0</v>
      </c>
      <c r="D176" s="384">
        <f>Hofdung!F32</f>
        <v>0</v>
      </c>
      <c r="E176" s="384">
        <f t="shared" si="75"/>
        <v>0</v>
      </c>
      <c r="F176" s="385">
        <f>Hofdung!H32</f>
        <v>0</v>
      </c>
      <c r="G176" s="386">
        <f>Hofdung!I32</f>
        <v>0</v>
      </c>
      <c r="H176" s="387">
        <f>Hofdung!J32</f>
        <v>0</v>
      </c>
      <c r="I176" s="385">
        <f>Hofdung!K32</f>
        <v>0</v>
      </c>
      <c r="J176" s="388">
        <f>Hofdung!L32</f>
        <v>0</v>
      </c>
      <c r="K176" s="401">
        <f>Hofdung!M32</f>
        <v>0.15</v>
      </c>
      <c r="L176" s="385">
        <f>Hofdung!N32</f>
        <v>0</v>
      </c>
      <c r="M176" s="386" t="str">
        <f>Hofdung!O32</f>
        <v>WD</v>
      </c>
      <c r="N176" s="390">
        <f t="shared" si="68"/>
        <v>0</v>
      </c>
      <c r="O176" s="391">
        <f t="shared" si="69"/>
        <v>0</v>
      </c>
      <c r="P176" s="1704">
        <f t="shared" si="70"/>
        <v>0</v>
      </c>
      <c r="Q176" s="3132"/>
      <c r="R176" s="3133"/>
      <c r="S176" s="1706"/>
      <c r="T176" s="1606">
        <f>Düngeplanung!Z26</f>
        <v>0</v>
      </c>
      <c r="U176" s="1684">
        <f t="shared" si="76"/>
        <v>0</v>
      </c>
      <c r="V176" s="1685">
        <f>IF(ISNA($U176),0,U176)</f>
        <v>0</v>
      </c>
      <c r="W176" s="1686">
        <f>IF($T176=0,0,VLOOKUP(T176,$C$158:$P$225,3,0))</f>
        <v>0</v>
      </c>
      <c r="X176" s="1684">
        <f>IF($T176=0,0,VLOOKUP(T176,$C$158:$P$225,4,0))</f>
        <v>0</v>
      </c>
      <c r="Y176" s="1685">
        <f>IF($T176=0,0,VLOOKUP(T176,$C$158:$P$225,5,0))</f>
        <v>0</v>
      </c>
      <c r="Z176" s="1687">
        <f>IF($T176=0,0,VLOOKUP(T176,$C$158:$P$225,6,0))</f>
        <v>0</v>
      </c>
      <c r="AA176" s="1688">
        <f>IF($T176=0,0,VLOOKUP(T176,$C$158:$P$225,7,0))</f>
        <v>0</v>
      </c>
      <c r="AB176" s="1689">
        <f>IF($T176=0,0,VLOOKUP(T176,$C$158:$P$225,8,0))</f>
        <v>0</v>
      </c>
      <c r="AC176" s="1685">
        <f>IF($T176=0,0,VLOOKUP(T176,$C$158:$P$225,9,0))</f>
        <v>0</v>
      </c>
      <c r="AD176" s="1690">
        <f>IF($T176=0,0,VLOOKUP(T176,$C$158:$P$225,10,0))</f>
        <v>0</v>
      </c>
      <c r="AE176" s="1685">
        <f>IF($T176=0,0,VLOOKUP(T176,$C$158:$P$225,11,0))</f>
        <v>0</v>
      </c>
      <c r="AF176" s="390">
        <f t="shared" si="88"/>
        <v>0</v>
      </c>
      <c r="AG176" s="391">
        <f t="shared" si="88"/>
        <v>0</v>
      </c>
      <c r="AH176" s="392">
        <f t="shared" si="88"/>
        <v>0</v>
      </c>
      <c r="AI176" s="1696">
        <f>Düngeplanung!AB26</f>
        <v>0</v>
      </c>
      <c r="AJ176" s="131">
        <f>Düngeplanung!Z26</f>
        <v>0</v>
      </c>
      <c r="AK176"/>
      <c r="AO176" s="9"/>
      <c r="AQ176" s="9"/>
      <c r="AR176" s="9"/>
    </row>
    <row r="177" spans="1:44" ht="15" customHeight="1" thickBot="1">
      <c r="A177" s="1">
        <v>16</v>
      </c>
      <c r="B177" s="102"/>
      <c r="C177" s="381" t="str">
        <f>CONCATENATE(A177," - ",Hofdung!B33)</f>
        <v>16 - 0</v>
      </c>
      <c r="D177" s="384">
        <f>Hofdung!F33</f>
        <v>0</v>
      </c>
      <c r="E177" s="384">
        <f t="shared" si="75"/>
        <v>0</v>
      </c>
      <c r="F177" s="385">
        <f>Hofdung!H33</f>
        <v>0</v>
      </c>
      <c r="G177" s="386">
        <f>Hofdung!I33</f>
        <v>0</v>
      </c>
      <c r="H177" s="387">
        <f>Hofdung!J33</f>
        <v>0</v>
      </c>
      <c r="I177" s="385">
        <f>Hofdung!K33</f>
        <v>0</v>
      </c>
      <c r="J177" s="388">
        <f>Hofdung!L33</f>
        <v>0</v>
      </c>
      <c r="K177" s="401">
        <f>Hofdung!M33</f>
        <v>0.15</v>
      </c>
      <c r="L177" s="385">
        <f>Hofdung!N33</f>
        <v>0</v>
      </c>
      <c r="M177" s="386" t="str">
        <f>Hofdung!O33</f>
        <v>WD</v>
      </c>
      <c r="N177" s="390">
        <f t="shared" si="68"/>
        <v>0</v>
      </c>
      <c r="O177" s="391">
        <f t="shared" si="69"/>
        <v>0</v>
      </c>
      <c r="P177" s="1704">
        <f t="shared" si="70"/>
        <v>0</v>
      </c>
      <c r="Q177" s="1711">
        <f>SUM(O165:O178)</f>
        <v>0</v>
      </c>
      <c r="R177" s="1712">
        <f>SUM(P165:P178)</f>
        <v>0</v>
      </c>
      <c r="S177" s="1706"/>
      <c r="T177" s="1606">
        <f>Düngeplanung!Z27</f>
        <v>0</v>
      </c>
      <c r="U177" s="1684">
        <f t="shared" si="76"/>
        <v>0</v>
      </c>
      <c r="V177" s="1685">
        <f>IF(ISNA($U177),0,U177)</f>
        <v>0</v>
      </c>
      <c r="W177" s="1686">
        <f>IF($T177=0,0,VLOOKUP(T177,$C$158:$P$225,3,0))</f>
        <v>0</v>
      </c>
      <c r="X177" s="1684">
        <f>IF($T177=0,0,VLOOKUP(T177,$C$158:$P$225,4,0))</f>
        <v>0</v>
      </c>
      <c r="Y177" s="1685">
        <f>IF($T177=0,0,VLOOKUP(T177,$C$158:$P$225,5,0))</f>
        <v>0</v>
      </c>
      <c r="Z177" s="1687">
        <f>IF($T177=0,0,VLOOKUP(T177,$C$158:$P$225,6,0))</f>
        <v>0</v>
      </c>
      <c r="AA177" s="1688">
        <f>IF($T177=0,0,VLOOKUP(T177,$C$158:$P$225,7,0))</f>
        <v>0</v>
      </c>
      <c r="AB177" s="1689">
        <f>IF($T177=0,0,VLOOKUP(T177,$C$158:$P$225,8,0))</f>
        <v>0</v>
      </c>
      <c r="AC177" s="1685">
        <f>IF($T177=0,0,VLOOKUP(T177,$C$158:$P$225,9,0))</f>
        <v>0</v>
      </c>
      <c r="AD177" s="1690">
        <f>IF($T177=0,0,VLOOKUP(T177,$C$158:$P$225,10,0))</f>
        <v>0</v>
      </c>
      <c r="AE177" s="1685">
        <f>IF($T177=0,0,VLOOKUP(T177,$C$158:$P$225,11,0))</f>
        <v>0</v>
      </c>
      <c r="AF177" s="390">
        <f t="shared" si="88"/>
        <v>0</v>
      </c>
      <c r="AG177" s="391">
        <f t="shared" si="88"/>
        <v>0</v>
      </c>
      <c r="AH177" s="392">
        <f t="shared" si="88"/>
        <v>0</v>
      </c>
      <c r="AI177" s="1696">
        <f>Düngeplanung!AB27</f>
        <v>0</v>
      </c>
      <c r="AJ177" s="131">
        <f>Düngeplanung!Z27</f>
        <v>0</v>
      </c>
      <c r="AK177"/>
      <c r="AO177" s="9"/>
      <c r="AQ177" s="9"/>
      <c r="AR177" s="9"/>
    </row>
    <row r="178" spans="1:44">
      <c r="A178" s="1">
        <v>17</v>
      </c>
      <c r="B178" s="102"/>
      <c r="C178" s="381" t="str">
        <f>CONCATENATE(A178," - ",Hofdung!B34)</f>
        <v>17 - 0</v>
      </c>
      <c r="D178" s="384">
        <f>Hofdung!F34</f>
        <v>0</v>
      </c>
      <c r="E178" s="384">
        <f t="shared" si="75"/>
        <v>0</v>
      </c>
      <c r="F178" s="385">
        <f>Hofdung!H34</f>
        <v>0</v>
      </c>
      <c r="G178" s="386">
        <f>Hofdung!I34</f>
        <v>0</v>
      </c>
      <c r="H178" s="387">
        <f>Hofdung!J34</f>
        <v>0</v>
      </c>
      <c r="I178" s="385">
        <f>Hofdung!K34</f>
        <v>0</v>
      </c>
      <c r="J178" s="388">
        <f>Hofdung!L34</f>
        <v>0</v>
      </c>
      <c r="K178" s="401">
        <f>Hofdung!M34</f>
        <v>0.01</v>
      </c>
      <c r="L178" s="385">
        <f>Hofdung!N34</f>
        <v>0</v>
      </c>
      <c r="M178" s="386" t="str">
        <f>Hofdung!O34</f>
        <v>WD</v>
      </c>
      <c r="N178" s="390">
        <f t="shared" si="68"/>
        <v>0</v>
      </c>
      <c r="O178" s="391">
        <f t="shared" si="69"/>
        <v>0</v>
      </c>
      <c r="P178" s="1704">
        <f t="shared" si="70"/>
        <v>0</v>
      </c>
      <c r="Q178" s="1713" t="s">
        <v>1758</v>
      </c>
      <c r="S178" s="1707"/>
      <c r="T178" s="1614"/>
      <c r="U178" s="1615"/>
      <c r="V178" s="1616"/>
      <c r="W178" s="1617"/>
      <c r="X178" s="1615"/>
      <c r="Y178" s="1616"/>
      <c r="Z178" s="1618"/>
      <c r="AA178" s="1619"/>
      <c r="AB178" s="1620"/>
      <c r="AC178" s="1616"/>
      <c r="AD178" s="1621"/>
      <c r="AE178" s="1616"/>
      <c r="AF178" s="1616"/>
      <c r="AG178" s="1616"/>
      <c r="AH178" s="1616"/>
      <c r="AI178" s="1616"/>
      <c r="AJ178" s="131"/>
      <c r="AK178"/>
      <c r="AO178" s="9"/>
      <c r="AQ178" s="9"/>
      <c r="AR178" s="9"/>
    </row>
    <row r="179" spans="1:44">
      <c r="A179" s="1">
        <v>18</v>
      </c>
      <c r="B179" s="102"/>
      <c r="C179" s="75" t="str">
        <f>CONCATENATE(A179," - ",Mineral!A4)</f>
        <v>18 - NAC - Kalkammonsalp.</v>
      </c>
      <c r="D179" s="15">
        <f>Mineral!C4</f>
        <v>0</v>
      </c>
      <c r="E179" s="16">
        <f t="shared" si="75"/>
        <v>0</v>
      </c>
      <c r="F179" s="403">
        <f t="shared" ref="F179:F224" si="89">H179</f>
        <v>0.27</v>
      </c>
      <c r="G179" s="404">
        <f t="shared" ref="G179:G224" si="90">H179</f>
        <v>0.27</v>
      </c>
      <c r="H179" s="405">
        <f>Mineral!D4</f>
        <v>0.27</v>
      </c>
      <c r="I179" s="406">
        <f>Mineral!E4</f>
        <v>0</v>
      </c>
      <c r="J179" s="407">
        <f>Mineral!F4</f>
        <v>0</v>
      </c>
      <c r="K179" s="88">
        <v>1</v>
      </c>
      <c r="L179" s="16"/>
      <c r="M179" s="190" t="s">
        <v>370</v>
      </c>
      <c r="N179" s="95">
        <f t="shared" ref="N179:N224" si="91">$D179*H179</f>
        <v>0</v>
      </c>
      <c r="O179" s="15">
        <f t="shared" ref="O179:O224" si="92">$D179*I179</f>
        <v>0</v>
      </c>
      <c r="P179" s="1705">
        <f t="shared" ref="P179:P224" si="93">$D179*J179</f>
        <v>0</v>
      </c>
      <c r="Q179" s="1708" t="e">
        <f t="shared" ref="Q179:Q224" si="94">VLOOKUP(C179,$T$165:$AI$172,16,FALSE)</f>
        <v>#N/A</v>
      </c>
      <c r="R179"/>
      <c r="S179" s="1707"/>
      <c r="T179" s="1614"/>
      <c r="U179" s="1615"/>
      <c r="V179" s="1616"/>
      <c r="W179" s="1617"/>
      <c r="X179" s="1615"/>
      <c r="Y179" s="1616"/>
      <c r="Z179" s="1618"/>
      <c r="AA179" s="1619"/>
      <c r="AB179" s="1620"/>
      <c r="AC179" s="1616"/>
      <c r="AD179" s="1621"/>
      <c r="AE179" s="1616"/>
      <c r="AF179" s="1616"/>
      <c r="AG179" s="1616"/>
      <c r="AH179" s="1616"/>
      <c r="AI179" s="1616"/>
      <c r="AJ179" s="9"/>
      <c r="AK179"/>
      <c r="AO179" s="9"/>
      <c r="AQ179" s="9"/>
      <c r="AR179" s="9"/>
    </row>
    <row r="180" spans="1:44">
      <c r="A180" s="1">
        <v>19</v>
      </c>
      <c r="B180" s="102"/>
      <c r="C180" s="75" t="str">
        <f>CONCATENATE(A180," - ",Mineral!A5)</f>
        <v>19 - Harnstoff (Urea 46)</v>
      </c>
      <c r="D180" s="15">
        <f>Mineral!C5</f>
        <v>0</v>
      </c>
      <c r="E180" s="16">
        <f t="shared" si="75"/>
        <v>0</v>
      </c>
      <c r="F180" s="403">
        <f t="shared" si="89"/>
        <v>0.46</v>
      </c>
      <c r="G180" s="404">
        <f t="shared" si="90"/>
        <v>0.46</v>
      </c>
      <c r="H180" s="405">
        <f>Mineral!D5</f>
        <v>0.46</v>
      </c>
      <c r="I180" s="406">
        <f>Mineral!E5</f>
        <v>0</v>
      </c>
      <c r="J180" s="407">
        <f>Mineral!F5</f>
        <v>0</v>
      </c>
      <c r="K180" s="88">
        <v>1</v>
      </c>
      <c r="L180" s="16"/>
      <c r="M180" s="190" t="s">
        <v>370</v>
      </c>
      <c r="N180" s="95">
        <f t="shared" si="91"/>
        <v>0</v>
      </c>
      <c r="O180" s="15">
        <f t="shared" si="92"/>
        <v>0</v>
      </c>
      <c r="P180" s="1705">
        <f t="shared" si="93"/>
        <v>0</v>
      </c>
      <c r="Q180" s="1708" t="e">
        <f t="shared" si="94"/>
        <v>#N/A</v>
      </c>
      <c r="R180"/>
      <c r="S180" s="190"/>
      <c r="T180" s="1606"/>
      <c r="U180" s="393"/>
      <c r="V180" s="394"/>
      <c r="W180" s="400"/>
      <c r="X180" s="393"/>
      <c r="Y180" s="394"/>
      <c r="Z180" s="396"/>
      <c r="AA180" s="397"/>
      <c r="AB180" s="398"/>
      <c r="AC180" s="394"/>
      <c r="AD180" s="399"/>
      <c r="AE180" s="394"/>
      <c r="AF180" s="390"/>
      <c r="AG180" s="391"/>
      <c r="AH180" s="392"/>
      <c r="AI180" s="131"/>
      <c r="AJ180" s="9"/>
      <c r="AK180"/>
      <c r="AO180" s="9"/>
      <c r="AQ180" s="9"/>
      <c r="AR180" s="9"/>
    </row>
    <row r="181" spans="1:44">
      <c r="A181" s="1">
        <v>20</v>
      </c>
      <c r="B181" s="102"/>
      <c r="C181" s="75" t="str">
        <f>CONCATENATE(A181," - ",Mineral!A6)</f>
        <v>20 - AHL in kg   (34,3 % je 100 lt)*</v>
      </c>
      <c r="D181" s="15">
        <f>Mineral!C6</f>
        <v>0</v>
      </c>
      <c r="E181" s="16">
        <f t="shared" si="75"/>
        <v>0</v>
      </c>
      <c r="F181" s="403">
        <f t="shared" si="89"/>
        <v>0.27</v>
      </c>
      <c r="G181" s="404">
        <f t="shared" si="90"/>
        <v>0.27</v>
      </c>
      <c r="H181" s="405">
        <f>Mineral!D6</f>
        <v>0.27</v>
      </c>
      <c r="I181" s="406">
        <f>Mineral!E6</f>
        <v>0</v>
      </c>
      <c r="J181" s="407">
        <f>Mineral!F6</f>
        <v>0</v>
      </c>
      <c r="K181" s="88">
        <v>1</v>
      </c>
      <c r="L181" s="16"/>
      <c r="M181" s="190" t="s">
        <v>370</v>
      </c>
      <c r="N181" s="95">
        <f t="shared" si="91"/>
        <v>0</v>
      </c>
      <c r="O181" s="15">
        <f t="shared" si="92"/>
        <v>0</v>
      </c>
      <c r="P181" s="1705">
        <f t="shared" si="93"/>
        <v>0</v>
      </c>
      <c r="Q181" s="1708" t="e">
        <f t="shared" si="94"/>
        <v>#N/A</v>
      </c>
      <c r="R181"/>
      <c r="S181" s="190"/>
      <c r="T181" s="1606"/>
      <c r="U181" s="393"/>
      <c r="V181" s="394"/>
      <c r="W181" s="400"/>
      <c r="X181" s="393"/>
      <c r="Y181" s="394"/>
      <c r="Z181" s="396"/>
      <c r="AA181" s="397"/>
      <c r="AB181" s="398"/>
      <c r="AC181" s="394"/>
      <c r="AD181" s="399"/>
      <c r="AE181" s="394"/>
      <c r="AF181" s="390"/>
      <c r="AG181" s="391"/>
      <c r="AH181" s="392"/>
      <c r="AI181" s="131"/>
      <c r="AJ181" s="9"/>
      <c r="AK181"/>
      <c r="AO181" s="9"/>
      <c r="AQ181" s="9"/>
      <c r="AR181" s="9"/>
    </row>
    <row r="182" spans="1:44">
      <c r="A182" s="1">
        <v>21</v>
      </c>
      <c r="B182" s="102"/>
      <c r="C182" s="75" t="str">
        <f>CONCATENATE(A182," - ",Mineral!A7)</f>
        <v>21 - AHL in kg   aus Bayern</v>
      </c>
      <c r="D182" s="15">
        <f>Mineral!C7</f>
        <v>0</v>
      </c>
      <c r="E182" s="16">
        <f t="shared" si="75"/>
        <v>0</v>
      </c>
      <c r="F182" s="403">
        <f t="shared" si="89"/>
        <v>0.30000000000000004</v>
      </c>
      <c r="G182" s="404">
        <f t="shared" si="90"/>
        <v>0.30000000000000004</v>
      </c>
      <c r="H182" s="405">
        <f>Mineral!D7</f>
        <v>0.30000000000000004</v>
      </c>
      <c r="I182" s="406">
        <f>Mineral!E7</f>
        <v>0</v>
      </c>
      <c r="J182" s="407">
        <f>Mineral!F7</f>
        <v>0</v>
      </c>
      <c r="K182" s="88">
        <v>1</v>
      </c>
      <c r="L182" s="16"/>
      <c r="M182" s="190" t="s">
        <v>370</v>
      </c>
      <c r="N182" s="95">
        <f t="shared" si="91"/>
        <v>0</v>
      </c>
      <c r="O182" s="15">
        <f t="shared" si="92"/>
        <v>0</v>
      </c>
      <c r="P182" s="1705">
        <f t="shared" si="93"/>
        <v>0</v>
      </c>
      <c r="Q182" s="1708" t="e">
        <f t="shared" si="94"/>
        <v>#N/A</v>
      </c>
      <c r="R182"/>
      <c r="S182" s="190"/>
      <c r="T182" s="1606"/>
      <c r="U182" s="393"/>
      <c r="V182" s="394"/>
      <c r="W182" s="400"/>
      <c r="X182" s="393"/>
      <c r="Y182" s="394"/>
      <c r="Z182" s="396"/>
      <c r="AA182" s="397"/>
      <c r="AB182" s="398"/>
      <c r="AC182" s="394"/>
      <c r="AD182" s="399"/>
      <c r="AE182" s="394"/>
      <c r="AF182" s="390"/>
      <c r="AG182" s="391"/>
      <c r="AH182" s="392"/>
      <c r="AI182" s="131"/>
      <c r="AJ182" s="9"/>
      <c r="AK182"/>
      <c r="AO182" s="9"/>
      <c r="AQ182" s="9"/>
      <c r="AR182" s="9"/>
    </row>
    <row r="183" spans="1:44">
      <c r="A183" s="1">
        <v>22</v>
      </c>
      <c r="B183" s="102"/>
      <c r="C183" s="75" t="str">
        <f>CONCATENATE(A183," - ",Mineral!A8)</f>
        <v>22 - SSA</v>
      </c>
      <c r="D183" s="15">
        <f>Mineral!C8</f>
        <v>0</v>
      </c>
      <c r="E183" s="16">
        <f t="shared" si="75"/>
        <v>0</v>
      </c>
      <c r="F183" s="403">
        <f t="shared" si="89"/>
        <v>0.21</v>
      </c>
      <c r="G183" s="404">
        <f t="shared" si="90"/>
        <v>0.21</v>
      </c>
      <c r="H183" s="405">
        <f>Mineral!D8</f>
        <v>0.21</v>
      </c>
      <c r="I183" s="406">
        <f>Mineral!E8</f>
        <v>0</v>
      </c>
      <c r="J183" s="407">
        <f>Mineral!F8</f>
        <v>0</v>
      </c>
      <c r="K183" s="88">
        <v>1</v>
      </c>
      <c r="L183" s="16"/>
      <c r="M183" s="190" t="s">
        <v>370</v>
      </c>
      <c r="N183" s="95">
        <f t="shared" si="91"/>
        <v>0</v>
      </c>
      <c r="O183" s="15">
        <f t="shared" si="92"/>
        <v>0</v>
      </c>
      <c r="P183" s="1705">
        <f t="shared" si="93"/>
        <v>0</v>
      </c>
      <c r="Q183" s="1708" t="e">
        <f t="shared" si="94"/>
        <v>#N/A</v>
      </c>
      <c r="R183"/>
      <c r="S183" s="190"/>
      <c r="T183" s="1606"/>
      <c r="U183" s="393"/>
      <c r="V183" s="394"/>
      <c r="W183" s="400"/>
      <c r="X183" s="393"/>
      <c r="Y183" s="394"/>
      <c r="Z183" s="396"/>
      <c r="AA183" s="397"/>
      <c r="AB183" s="398"/>
      <c r="AC183" s="394"/>
      <c r="AD183" s="399"/>
      <c r="AE183" s="394"/>
      <c r="AF183" s="390"/>
      <c r="AG183" s="391"/>
      <c r="AH183" s="392"/>
      <c r="AI183" s="131"/>
      <c r="AJ183" s="9"/>
      <c r="AK183"/>
      <c r="AO183" s="9"/>
      <c r="AQ183" s="9"/>
      <c r="AR183" s="9"/>
    </row>
    <row r="184" spans="1:44">
      <c r="A184" s="1">
        <v>23</v>
      </c>
      <c r="B184" s="102"/>
      <c r="C184" s="75" t="str">
        <f>CONCATENATE(A184," - ",Mineral!A9)</f>
        <v>23 - Piamon</v>
      </c>
      <c r="D184" s="15">
        <f>Mineral!C9</f>
        <v>0</v>
      </c>
      <c r="E184" s="16">
        <f t="shared" si="75"/>
        <v>0</v>
      </c>
      <c r="F184" s="403">
        <f t="shared" si="89"/>
        <v>0.33</v>
      </c>
      <c r="G184" s="404">
        <f t="shared" si="90"/>
        <v>0.33</v>
      </c>
      <c r="H184" s="405">
        <f>Mineral!D9</f>
        <v>0.33</v>
      </c>
      <c r="I184" s="406">
        <f>Mineral!E9</f>
        <v>0</v>
      </c>
      <c r="J184" s="407">
        <f>Mineral!F9</f>
        <v>0</v>
      </c>
      <c r="K184" s="88">
        <v>1</v>
      </c>
      <c r="L184" s="16"/>
      <c r="M184" s="190" t="s">
        <v>370</v>
      </c>
      <c r="N184" s="95">
        <f t="shared" si="91"/>
        <v>0</v>
      </c>
      <c r="O184" s="15">
        <f t="shared" si="92"/>
        <v>0</v>
      </c>
      <c r="P184" s="1705">
        <f t="shared" si="93"/>
        <v>0</v>
      </c>
      <c r="Q184" s="1708" t="e">
        <f t="shared" si="94"/>
        <v>#N/A</v>
      </c>
      <c r="R184"/>
      <c r="S184" s="190"/>
      <c r="T184" s="1606"/>
      <c r="U184" s="393"/>
      <c r="V184" s="394"/>
      <c r="W184" s="400"/>
      <c r="X184" s="393"/>
      <c r="Y184" s="394"/>
      <c r="Z184" s="396"/>
      <c r="AA184" s="397"/>
      <c r="AB184" s="398"/>
      <c r="AC184" s="394"/>
      <c r="AD184" s="399"/>
      <c r="AE184" s="394"/>
      <c r="AF184" s="390"/>
      <c r="AG184" s="391"/>
      <c r="AH184" s="392"/>
      <c r="AI184" s="131"/>
      <c r="AJ184" s="9"/>
      <c r="AK184"/>
      <c r="AO184" s="9"/>
      <c r="AQ184" s="9"/>
      <c r="AR184" s="9"/>
    </row>
    <row r="185" spans="1:44" ht="13.5" thickBot="1">
      <c r="A185" s="1">
        <v>24</v>
      </c>
      <c r="B185" s="102"/>
      <c r="C185" s="75" t="str">
        <f>CONCATENATE(A185," - ",Mineral!A10)</f>
        <v>24 - Kalkstickstoff</v>
      </c>
      <c r="D185" s="15">
        <f>Mineral!C10</f>
        <v>0</v>
      </c>
      <c r="E185" s="16">
        <f t="shared" si="75"/>
        <v>0</v>
      </c>
      <c r="F185" s="403">
        <f t="shared" si="89"/>
        <v>0.2</v>
      </c>
      <c r="G185" s="404">
        <f t="shared" si="90"/>
        <v>0.2</v>
      </c>
      <c r="H185" s="405">
        <f>Mineral!D10</f>
        <v>0.2</v>
      </c>
      <c r="I185" s="406">
        <f>Mineral!E10</f>
        <v>0</v>
      </c>
      <c r="J185" s="407">
        <f>Mineral!F10</f>
        <v>0</v>
      </c>
      <c r="K185" s="88">
        <v>1</v>
      </c>
      <c r="L185" s="16"/>
      <c r="M185" s="190" t="s">
        <v>370</v>
      </c>
      <c r="N185" s="95">
        <f t="shared" si="91"/>
        <v>0</v>
      </c>
      <c r="O185" s="15">
        <f t="shared" si="92"/>
        <v>0</v>
      </c>
      <c r="P185" s="1705">
        <f t="shared" si="93"/>
        <v>0</v>
      </c>
      <c r="Q185" s="1708" t="e">
        <f t="shared" si="94"/>
        <v>#N/A</v>
      </c>
      <c r="R185"/>
      <c r="S185" s="190"/>
      <c r="T185" s="1606"/>
      <c r="U185" s="393"/>
      <c r="V185" s="394"/>
      <c r="W185" s="408"/>
      <c r="X185" s="393"/>
      <c r="Y185" s="394"/>
      <c r="Z185" s="409"/>
      <c r="AA185" s="410"/>
      <c r="AB185" s="411"/>
      <c r="AC185" s="394"/>
      <c r="AD185" s="399"/>
      <c r="AE185" s="394"/>
      <c r="AF185" s="390"/>
      <c r="AG185" s="391"/>
      <c r="AH185" s="392"/>
      <c r="AI185" s="131"/>
      <c r="AJ185" s="9"/>
      <c r="AK185"/>
      <c r="AO185" s="9"/>
      <c r="AQ185" s="9"/>
      <c r="AR185" s="9"/>
    </row>
    <row r="186" spans="1:44" ht="13.5" thickBot="1">
      <c r="A186" s="1">
        <v>25</v>
      </c>
      <c r="B186" s="102"/>
      <c r="C186" s="75" t="str">
        <f>CONCATENATE(A186," - ",Mineral!A11)</f>
        <v>25 - Hyper fein</v>
      </c>
      <c r="D186" s="15">
        <f>Mineral!C11</f>
        <v>0</v>
      </c>
      <c r="E186" s="16">
        <f t="shared" si="75"/>
        <v>0</v>
      </c>
      <c r="F186" s="403">
        <f t="shared" si="89"/>
        <v>0</v>
      </c>
      <c r="G186" s="404">
        <f t="shared" si="90"/>
        <v>0</v>
      </c>
      <c r="H186" s="405">
        <f>Mineral!D11</f>
        <v>0</v>
      </c>
      <c r="I186" s="406">
        <f>Mineral!E11</f>
        <v>0.28999999999999998</v>
      </c>
      <c r="J186" s="407">
        <f>Mineral!F11</f>
        <v>0</v>
      </c>
      <c r="K186" s="88">
        <v>1</v>
      </c>
      <c r="L186" s="16"/>
      <c r="M186" s="190" t="s">
        <v>370</v>
      </c>
      <c r="N186" s="95">
        <f t="shared" si="91"/>
        <v>0</v>
      </c>
      <c r="O186" s="15">
        <f t="shared" si="92"/>
        <v>0</v>
      </c>
      <c r="P186" s="1705">
        <f t="shared" si="93"/>
        <v>0</v>
      </c>
      <c r="Q186" s="1708" t="e">
        <f t="shared" si="94"/>
        <v>#N/A</v>
      </c>
      <c r="R186"/>
      <c r="S186"/>
      <c r="T186"/>
      <c r="Y186"/>
      <c r="Z186"/>
      <c r="AA186"/>
      <c r="AB186"/>
      <c r="AC186"/>
      <c r="AD186"/>
      <c r="AE186" s="188" t="s">
        <v>93</v>
      </c>
      <c r="AF186" s="412">
        <f>SUM(AF159:AF185)</f>
        <v>0</v>
      </c>
      <c r="AG186" s="413">
        <f>SUM(AG159:AG185)</f>
        <v>0</v>
      </c>
      <c r="AH186" s="414">
        <f>SUM(AH159:AH185)</f>
        <v>0</v>
      </c>
      <c r="AI186" s="131"/>
      <c r="AJ186" s="9"/>
      <c r="AK186"/>
      <c r="AO186" s="9"/>
      <c r="AQ186" s="9"/>
      <c r="AR186" s="9"/>
    </row>
    <row r="187" spans="1:44" ht="16.5" thickBot="1">
      <c r="A187" s="1">
        <v>26</v>
      </c>
      <c r="B187" s="102"/>
      <c r="C187" s="75" t="str">
        <f>CONCATENATE(A187," - ",Mineral!A12)</f>
        <v>26 - Hyperkorn</v>
      </c>
      <c r="D187" s="15">
        <f>Mineral!C12</f>
        <v>0</v>
      </c>
      <c r="E187" s="16">
        <f t="shared" si="75"/>
        <v>0</v>
      </c>
      <c r="F187" s="403">
        <f t="shared" si="89"/>
        <v>0</v>
      </c>
      <c r="G187" s="404">
        <f t="shared" si="90"/>
        <v>0</v>
      </c>
      <c r="H187" s="405">
        <f>Mineral!D12</f>
        <v>0</v>
      </c>
      <c r="I187" s="406">
        <f>Mineral!E12</f>
        <v>0.26</v>
      </c>
      <c r="J187" s="407">
        <f>Mineral!F12</f>
        <v>0</v>
      </c>
      <c r="K187" s="88">
        <v>1</v>
      </c>
      <c r="L187" s="16"/>
      <c r="M187" s="190" t="s">
        <v>370</v>
      </c>
      <c r="N187" s="95">
        <f t="shared" si="91"/>
        <v>0</v>
      </c>
      <c r="O187" s="15">
        <f t="shared" si="92"/>
        <v>0</v>
      </c>
      <c r="P187" s="1705">
        <f t="shared" si="93"/>
        <v>0</v>
      </c>
      <c r="Q187" s="1708" t="e">
        <f t="shared" si="94"/>
        <v>#N/A</v>
      </c>
      <c r="R187"/>
      <c r="S187"/>
      <c r="T187"/>
      <c r="Y187" s="415" t="s">
        <v>371</v>
      </c>
      <c r="Z187" s="416"/>
      <c r="AA187" s="416"/>
      <c r="AB187" s="416"/>
      <c r="AC187" s="416"/>
      <c r="AD187" s="416"/>
      <c r="AE187" s="417" t="s">
        <v>372</v>
      </c>
      <c r="AF187" s="418">
        <f>IF(AF186&lt;N226,-10,IF(AF186=N226,0,IF(AF186&gt;N226,3)))</f>
        <v>0</v>
      </c>
      <c r="AG187" s="418">
        <f>IF(AG186&lt;O226,-10,IF(AG186=O226,0,IF(AG186&gt;O226,3)))</f>
        <v>0</v>
      </c>
      <c r="AH187" s="418">
        <f>IF(AH186&lt;P226,-10,IF(AH186=P226,0,IF(AH186&gt;P226,3)))</f>
        <v>0</v>
      </c>
      <c r="AI187" s="419">
        <f>SUM(AF187:AH187)</f>
        <v>0</v>
      </c>
      <c r="AJ187" s="420"/>
      <c r="AK187" s="420"/>
      <c r="AO187" s="9"/>
      <c r="AQ187" s="9"/>
      <c r="AR187" s="9"/>
    </row>
    <row r="188" spans="1:44" ht="15.75" thickBot="1">
      <c r="A188" s="1">
        <v>27</v>
      </c>
      <c r="B188" s="102"/>
      <c r="C188" s="75" t="str">
        <f>CONCATENATE(A188," - ",Mineral!A13)</f>
        <v>27 - Superphosphat</v>
      </c>
      <c r="D188" s="15">
        <f>Mineral!C13</f>
        <v>0</v>
      </c>
      <c r="E188" s="16">
        <f t="shared" si="75"/>
        <v>0</v>
      </c>
      <c r="F188" s="403">
        <f t="shared" si="89"/>
        <v>0</v>
      </c>
      <c r="G188" s="404">
        <f t="shared" si="90"/>
        <v>0</v>
      </c>
      <c r="H188" s="405">
        <f>Mineral!D13</f>
        <v>0</v>
      </c>
      <c r="I188" s="406">
        <f>Mineral!E13</f>
        <v>0.19</v>
      </c>
      <c r="J188" s="407">
        <f>Mineral!F13</f>
        <v>0</v>
      </c>
      <c r="K188" s="88">
        <v>1</v>
      </c>
      <c r="L188" s="16"/>
      <c r="M188" s="190" t="s">
        <v>370</v>
      </c>
      <c r="N188" s="95">
        <f t="shared" si="91"/>
        <v>0</v>
      </c>
      <c r="O188" s="15">
        <f t="shared" si="92"/>
        <v>0</v>
      </c>
      <c r="P188" s="1705">
        <f t="shared" si="93"/>
        <v>0</v>
      </c>
      <c r="Q188" s="1708" t="e">
        <f t="shared" si="94"/>
        <v>#N/A</v>
      </c>
      <c r="R188"/>
      <c r="S188"/>
      <c r="T188"/>
      <c r="Y188" s="416"/>
      <c r="Z188" s="416"/>
      <c r="AA188" s="416"/>
      <c r="AB188" s="416"/>
      <c r="AC188" s="416"/>
      <c r="AD188" s="416"/>
      <c r="AE188" s="417" t="s">
        <v>373</v>
      </c>
      <c r="AF188" s="421">
        <f>AF186-N226</f>
        <v>0</v>
      </c>
      <c r="AG188" s="421">
        <f>AG186-O226</f>
        <v>0</v>
      </c>
      <c r="AH188" s="421">
        <f>AH186-P226</f>
        <v>0</v>
      </c>
      <c r="AI188" s="131"/>
      <c r="AJ188" s="9"/>
      <c r="AO188" s="9"/>
      <c r="AQ188" s="9"/>
      <c r="AR188" s="9"/>
    </row>
    <row r="189" spans="1:44" ht="15">
      <c r="A189" s="1">
        <v>28</v>
      </c>
      <c r="B189" s="102"/>
      <c r="C189" s="75" t="str">
        <f>CONCATENATE(A189," - ",Mineral!A14)</f>
        <v>28 - Triplephosphat</v>
      </c>
      <c r="D189" s="15">
        <f>Mineral!C14</f>
        <v>0</v>
      </c>
      <c r="E189" s="16">
        <f t="shared" si="75"/>
        <v>0</v>
      </c>
      <c r="F189" s="403">
        <f t="shared" si="89"/>
        <v>0</v>
      </c>
      <c r="G189" s="404">
        <f t="shared" si="90"/>
        <v>0</v>
      </c>
      <c r="H189" s="405">
        <f>Mineral!D14</f>
        <v>0</v>
      </c>
      <c r="I189" s="406">
        <f>Mineral!E14</f>
        <v>0.45</v>
      </c>
      <c r="J189" s="407">
        <f>Mineral!F14</f>
        <v>0</v>
      </c>
      <c r="K189" s="88">
        <v>1</v>
      </c>
      <c r="L189" s="16"/>
      <c r="M189" s="190" t="s">
        <v>370</v>
      </c>
      <c r="N189" s="95">
        <f t="shared" si="91"/>
        <v>0</v>
      </c>
      <c r="O189" s="15">
        <f t="shared" si="92"/>
        <v>0</v>
      </c>
      <c r="P189" s="1705">
        <f t="shared" si="93"/>
        <v>0</v>
      </c>
      <c r="Q189" s="1708" t="e">
        <f t="shared" si="94"/>
        <v>#N/A</v>
      </c>
      <c r="R189"/>
      <c r="S189"/>
      <c r="T189"/>
      <c r="Y189" s="416"/>
      <c r="Z189" s="416"/>
      <c r="AA189" s="416"/>
      <c r="AB189" s="416"/>
      <c r="AC189" s="416"/>
      <c r="AD189" s="416"/>
      <c r="AE189" s="422" t="s">
        <v>374</v>
      </c>
      <c r="AF189" s="418">
        <f>AX79-AF186</f>
        <v>0</v>
      </c>
      <c r="AG189" s="423" t="s">
        <v>375</v>
      </c>
      <c r="AH189"/>
      <c r="AI189" s="131"/>
      <c r="AJ189" s="9"/>
    </row>
    <row r="190" spans="1:44">
      <c r="A190" s="1">
        <v>29</v>
      </c>
      <c r="B190" s="102"/>
      <c r="C190" s="75" t="str">
        <f>CONCATENATE(A190," - ",Mineral!A15)</f>
        <v>29 - Thomaskorn 15</v>
      </c>
      <c r="D190" s="15">
        <f>Mineral!C15</f>
        <v>0</v>
      </c>
      <c r="E190" s="16">
        <f t="shared" si="75"/>
        <v>0</v>
      </c>
      <c r="F190" s="403">
        <f t="shared" si="89"/>
        <v>0</v>
      </c>
      <c r="G190" s="404">
        <f t="shared" si="90"/>
        <v>0</v>
      </c>
      <c r="H190" s="405">
        <f>Mineral!D15</f>
        <v>0</v>
      </c>
      <c r="I190" s="406">
        <f>Mineral!E15</f>
        <v>0.15</v>
      </c>
      <c r="J190" s="407">
        <f>Mineral!F15</f>
        <v>0</v>
      </c>
      <c r="K190" s="88">
        <v>1</v>
      </c>
      <c r="L190" s="16"/>
      <c r="M190" s="190" t="s">
        <v>370</v>
      </c>
      <c r="N190" s="95">
        <f t="shared" si="91"/>
        <v>0</v>
      </c>
      <c r="O190" s="15">
        <f t="shared" si="92"/>
        <v>0</v>
      </c>
      <c r="P190" s="1705">
        <f t="shared" si="93"/>
        <v>0</v>
      </c>
      <c r="Q190" s="1708" t="e">
        <f t="shared" si="94"/>
        <v>#N/A</v>
      </c>
      <c r="R190"/>
      <c r="S190"/>
      <c r="T190"/>
      <c r="AE190" s="188" t="s">
        <v>376</v>
      </c>
      <c r="AF190" s="80">
        <f>AF186+CA22</f>
        <v>0</v>
      </c>
      <c r="AG190" s="80">
        <f>AG186+CI22</f>
        <v>0</v>
      </c>
      <c r="AH190" s="80">
        <f>AH186+CN22</f>
        <v>0</v>
      </c>
      <c r="AI190" s="131"/>
      <c r="AJ190" s="9"/>
    </row>
    <row r="191" spans="1:44" ht="15.75" thickBot="1">
      <c r="A191" s="1">
        <v>30</v>
      </c>
      <c r="B191" s="102"/>
      <c r="C191" s="75" t="str">
        <f>CONCATENATE(A191," - ",Mineral!A16)</f>
        <v>30 - 40er Kali</v>
      </c>
      <c r="D191" s="15">
        <f>Mineral!C16</f>
        <v>0</v>
      </c>
      <c r="E191" s="16">
        <f t="shared" si="75"/>
        <v>0</v>
      </c>
      <c r="F191" s="403">
        <f t="shared" si="89"/>
        <v>0</v>
      </c>
      <c r="G191" s="404">
        <f t="shared" si="90"/>
        <v>0</v>
      </c>
      <c r="H191" s="405">
        <f>Mineral!D16</f>
        <v>0</v>
      </c>
      <c r="I191" s="406">
        <f>Mineral!E16</f>
        <v>0</v>
      </c>
      <c r="J191" s="407">
        <f>Mineral!F16</f>
        <v>0.4</v>
      </c>
      <c r="K191" s="88">
        <v>1</v>
      </c>
      <c r="L191" s="16"/>
      <c r="M191" s="190" t="s">
        <v>370</v>
      </c>
      <c r="N191" s="95">
        <f t="shared" si="91"/>
        <v>0</v>
      </c>
      <c r="O191" s="15">
        <f t="shared" si="92"/>
        <v>0</v>
      </c>
      <c r="P191" s="1705">
        <f t="shared" si="93"/>
        <v>0</v>
      </c>
      <c r="Q191" s="1708" t="e">
        <f t="shared" si="94"/>
        <v>#N/A</v>
      </c>
      <c r="R191"/>
      <c r="S191"/>
      <c r="T191"/>
      <c r="AE191" s="424">
        <f>IF(AF190=AX78,1,0)</f>
        <v>1</v>
      </c>
      <c r="AF191" s="425">
        <f>AX78-AF190</f>
        <v>0</v>
      </c>
      <c r="AI191" s="131"/>
      <c r="AJ191" s="9"/>
    </row>
    <row r="192" spans="1:44">
      <c r="A192" s="1">
        <v>31</v>
      </c>
      <c r="B192" s="102"/>
      <c r="C192" s="75" t="str">
        <f>CONCATENATE(A192," - ",Mineral!A17)</f>
        <v>31 - 60er Kali</v>
      </c>
      <c r="D192" s="15">
        <f>Mineral!C17</f>
        <v>0</v>
      </c>
      <c r="E192" s="16">
        <f t="shared" si="75"/>
        <v>0</v>
      </c>
      <c r="F192" s="403">
        <f t="shared" si="89"/>
        <v>0</v>
      </c>
      <c r="G192" s="404">
        <f t="shared" si="90"/>
        <v>0</v>
      </c>
      <c r="H192" s="405">
        <f>Mineral!D17</f>
        <v>0</v>
      </c>
      <c r="I192" s="406">
        <f>Mineral!E17</f>
        <v>0</v>
      </c>
      <c r="J192" s="407">
        <f>Mineral!F17</f>
        <v>0.60000000000000009</v>
      </c>
      <c r="K192" s="88">
        <v>1</v>
      </c>
      <c r="L192" s="16"/>
      <c r="M192" s="190" t="s">
        <v>370</v>
      </c>
      <c r="N192" s="95">
        <f t="shared" si="91"/>
        <v>0</v>
      </c>
      <c r="O192" s="15">
        <f t="shared" si="92"/>
        <v>0</v>
      </c>
      <c r="P192" s="1705">
        <f t="shared" si="93"/>
        <v>0</v>
      </c>
      <c r="Q192" s="1708" t="e">
        <f t="shared" si="94"/>
        <v>#N/A</v>
      </c>
      <c r="R192"/>
      <c r="S192"/>
      <c r="T192"/>
      <c r="AE192" s="9" t="s">
        <v>150</v>
      </c>
      <c r="AI192" s="131"/>
      <c r="AJ192" s="9"/>
    </row>
    <row r="193" spans="1:36">
      <c r="A193" s="1">
        <v>32</v>
      </c>
      <c r="B193" s="102"/>
      <c r="C193" s="75" t="str">
        <f>CONCATENATE(A193," - ",Mineral!A18)</f>
        <v>32 - Patentkali</v>
      </c>
      <c r="D193" s="15">
        <f>Mineral!C18</f>
        <v>0</v>
      </c>
      <c r="E193" s="16">
        <f t="shared" si="75"/>
        <v>0</v>
      </c>
      <c r="F193" s="403">
        <f t="shared" si="89"/>
        <v>0</v>
      </c>
      <c r="G193" s="404">
        <f t="shared" si="90"/>
        <v>0</v>
      </c>
      <c r="H193" s="405">
        <f>Mineral!D18</f>
        <v>0</v>
      </c>
      <c r="I193" s="406">
        <f>Mineral!E18</f>
        <v>0</v>
      </c>
      <c r="J193" s="407">
        <f>Mineral!F18</f>
        <v>0.30000000000000004</v>
      </c>
      <c r="K193" s="88">
        <v>1</v>
      </c>
      <c r="L193" s="16"/>
      <c r="M193" s="190" t="s">
        <v>370</v>
      </c>
      <c r="N193" s="95">
        <f t="shared" si="91"/>
        <v>0</v>
      </c>
      <c r="O193" s="15">
        <f t="shared" si="92"/>
        <v>0</v>
      </c>
      <c r="P193" s="1705">
        <f t="shared" si="93"/>
        <v>0</v>
      </c>
      <c r="Q193" s="1708" t="e">
        <f t="shared" si="94"/>
        <v>#N/A</v>
      </c>
      <c r="R193"/>
      <c r="S193"/>
      <c r="T193"/>
      <c r="AI193" s="131"/>
      <c r="AJ193" s="9"/>
    </row>
    <row r="194" spans="1:36">
      <c r="A194" s="1">
        <v>33</v>
      </c>
      <c r="B194" s="102"/>
      <c r="C194" s="75" t="str">
        <f>CONCATENATE(A194," - ",Mineral!A19)</f>
        <v>33 - Schwefels. Kali</v>
      </c>
      <c r="D194" s="15">
        <f>Mineral!C19</f>
        <v>0</v>
      </c>
      <c r="E194" s="16">
        <f t="shared" si="75"/>
        <v>0</v>
      </c>
      <c r="F194" s="403">
        <f t="shared" si="89"/>
        <v>0</v>
      </c>
      <c r="G194" s="404">
        <f t="shared" si="90"/>
        <v>0</v>
      </c>
      <c r="H194" s="405">
        <f>Mineral!D19</f>
        <v>0</v>
      </c>
      <c r="I194" s="406">
        <f>Mineral!E19</f>
        <v>0</v>
      </c>
      <c r="J194" s="407">
        <f>Mineral!F19</f>
        <v>0.5</v>
      </c>
      <c r="K194" s="88">
        <v>1</v>
      </c>
      <c r="L194" s="16"/>
      <c r="M194" s="190" t="s">
        <v>370</v>
      </c>
      <c r="N194" s="95">
        <f t="shared" si="91"/>
        <v>0</v>
      </c>
      <c r="O194" s="15">
        <f t="shared" si="92"/>
        <v>0</v>
      </c>
      <c r="P194" s="1705">
        <f t="shared" si="93"/>
        <v>0</v>
      </c>
      <c r="Q194" s="1708" t="e">
        <f t="shared" si="94"/>
        <v>#N/A</v>
      </c>
      <c r="R194"/>
      <c r="S194"/>
      <c r="T194"/>
      <c r="AI194" s="131"/>
      <c r="AJ194" s="9"/>
    </row>
    <row r="195" spans="1:36">
      <c r="A195" s="1">
        <v>34</v>
      </c>
      <c r="B195" s="102"/>
      <c r="C195" s="75" t="str">
        <f>CONCATENATE(A195," - ",Mineral!A20)</f>
        <v>34 - Magnesia-Kainit</v>
      </c>
      <c r="D195" s="15">
        <f>Mineral!C20</f>
        <v>0</v>
      </c>
      <c r="E195" s="16">
        <f t="shared" si="75"/>
        <v>0</v>
      </c>
      <c r="F195" s="403">
        <f t="shared" si="89"/>
        <v>0</v>
      </c>
      <c r="G195" s="404">
        <f t="shared" si="90"/>
        <v>0</v>
      </c>
      <c r="H195" s="405">
        <f>Mineral!D20</f>
        <v>0</v>
      </c>
      <c r="I195" s="406">
        <f>Mineral!E20</f>
        <v>0</v>
      </c>
      <c r="J195" s="407">
        <f>Mineral!F20</f>
        <v>0.11</v>
      </c>
      <c r="K195" s="88">
        <v>1</v>
      </c>
      <c r="L195" s="16"/>
      <c r="M195" s="190" t="s">
        <v>370</v>
      </c>
      <c r="N195" s="95">
        <f t="shared" si="91"/>
        <v>0</v>
      </c>
      <c r="O195" s="15">
        <f t="shared" si="92"/>
        <v>0</v>
      </c>
      <c r="P195" s="1705">
        <f t="shared" si="93"/>
        <v>0</v>
      </c>
      <c r="Q195" s="1708" t="e">
        <f t="shared" si="94"/>
        <v>#N/A</v>
      </c>
      <c r="R195"/>
      <c r="S195"/>
      <c r="T195"/>
      <c r="AI195" s="131"/>
      <c r="AJ195" s="9"/>
    </row>
    <row r="196" spans="1:36">
      <c r="A196" s="1">
        <v>35</v>
      </c>
      <c r="B196" s="102"/>
      <c r="C196" s="75" t="str">
        <f>CONCATENATE(A196," - ",Mineral!A21)</f>
        <v>35 - Diammonphosphat</v>
      </c>
      <c r="D196" s="15">
        <f>Mineral!C21</f>
        <v>0</v>
      </c>
      <c r="E196" s="16">
        <f t="shared" si="75"/>
        <v>0</v>
      </c>
      <c r="F196" s="403">
        <f t="shared" si="89"/>
        <v>0.18</v>
      </c>
      <c r="G196" s="404">
        <f t="shared" si="90"/>
        <v>0.18</v>
      </c>
      <c r="H196" s="405">
        <f>Mineral!D21</f>
        <v>0.18</v>
      </c>
      <c r="I196" s="406">
        <f>Mineral!E21</f>
        <v>0.46</v>
      </c>
      <c r="J196" s="407">
        <f>Mineral!F21</f>
        <v>0</v>
      </c>
      <c r="K196" s="88">
        <v>1</v>
      </c>
      <c r="L196" s="16"/>
      <c r="M196" s="190" t="s">
        <v>370</v>
      </c>
      <c r="N196" s="95">
        <f t="shared" si="91"/>
        <v>0</v>
      </c>
      <c r="O196" s="15">
        <f t="shared" si="92"/>
        <v>0</v>
      </c>
      <c r="P196" s="1705">
        <f t="shared" si="93"/>
        <v>0</v>
      </c>
      <c r="Q196" s="1708" t="e">
        <f t="shared" si="94"/>
        <v>#N/A</v>
      </c>
      <c r="R196"/>
      <c r="S196"/>
      <c r="T196"/>
      <c r="AI196" s="131"/>
      <c r="AJ196" s="9"/>
    </row>
    <row r="197" spans="1:36">
      <c r="A197" s="1">
        <v>36</v>
      </c>
      <c r="B197" s="102"/>
      <c r="C197" s="75" t="str">
        <f>CONCATENATE(A197," - ",Mineral!A22)</f>
        <v>36 - Complex grün 20/20</v>
      </c>
      <c r="D197" s="15">
        <f>Mineral!C22</f>
        <v>0</v>
      </c>
      <c r="E197" s="16">
        <f t="shared" si="75"/>
        <v>0</v>
      </c>
      <c r="F197" s="403">
        <f t="shared" si="89"/>
        <v>0.2</v>
      </c>
      <c r="G197" s="404">
        <f t="shared" si="90"/>
        <v>0.2</v>
      </c>
      <c r="H197" s="405">
        <f>Mineral!D22</f>
        <v>0.2</v>
      </c>
      <c r="I197" s="406">
        <f>Mineral!E22</f>
        <v>0.2</v>
      </c>
      <c r="J197" s="407">
        <f>Mineral!F22</f>
        <v>0</v>
      </c>
      <c r="K197" s="88">
        <v>1</v>
      </c>
      <c r="L197" s="16"/>
      <c r="M197" s="190" t="s">
        <v>370</v>
      </c>
      <c r="N197" s="95">
        <f t="shared" si="91"/>
        <v>0</v>
      </c>
      <c r="O197" s="15">
        <f t="shared" si="92"/>
        <v>0</v>
      </c>
      <c r="P197" s="1705">
        <f t="shared" si="93"/>
        <v>0</v>
      </c>
      <c r="Q197" s="1708" t="e">
        <f t="shared" si="94"/>
        <v>#N/A</v>
      </c>
      <c r="R197"/>
      <c r="S197"/>
      <c r="T197"/>
      <c r="AI197" s="131"/>
      <c r="AJ197" s="9"/>
    </row>
    <row r="198" spans="1:36">
      <c r="A198" s="1">
        <v>37</v>
      </c>
      <c r="B198" s="102"/>
      <c r="C198" s="75" t="str">
        <f>CONCATENATE(A198," - ",Mineral!A23)</f>
        <v>37 - Complex grün 26/10</v>
      </c>
      <c r="D198" s="15">
        <f>Mineral!C23</f>
        <v>0</v>
      </c>
      <c r="E198" s="16">
        <f t="shared" si="75"/>
        <v>0</v>
      </c>
      <c r="F198" s="403">
        <f t="shared" si="89"/>
        <v>0.26</v>
      </c>
      <c r="G198" s="404">
        <f t="shared" si="90"/>
        <v>0.26</v>
      </c>
      <c r="H198" s="405">
        <f>Mineral!D23</f>
        <v>0.26</v>
      </c>
      <c r="I198" s="406">
        <f>Mineral!E23</f>
        <v>0.1</v>
      </c>
      <c r="J198" s="407">
        <f>Mineral!F23</f>
        <v>0</v>
      </c>
      <c r="K198" s="88">
        <v>1</v>
      </c>
      <c r="L198" s="16"/>
      <c r="M198" s="190" t="s">
        <v>370</v>
      </c>
      <c r="N198" s="95">
        <f t="shared" si="91"/>
        <v>0</v>
      </c>
      <c r="O198" s="15">
        <f t="shared" si="92"/>
        <v>0</v>
      </c>
      <c r="P198" s="1705">
        <f t="shared" si="93"/>
        <v>0</v>
      </c>
      <c r="Q198" s="1708" t="e">
        <f t="shared" si="94"/>
        <v>#N/A</v>
      </c>
      <c r="R198"/>
      <c r="S198"/>
      <c r="T198"/>
      <c r="AI198" s="131"/>
      <c r="AJ198" s="9"/>
    </row>
    <row r="199" spans="1:36">
      <c r="A199" s="1">
        <v>38</v>
      </c>
      <c r="B199" s="102"/>
      <c r="C199" s="75" t="str">
        <f>CONCATENATE(A199," - ",Mineral!A24)</f>
        <v>38 - DC 45 neu</v>
      </c>
      <c r="D199" s="15">
        <f>Mineral!C24</f>
        <v>0</v>
      </c>
      <c r="E199" s="16">
        <f t="shared" si="75"/>
        <v>0</v>
      </c>
      <c r="F199" s="403">
        <f t="shared" si="89"/>
        <v>0</v>
      </c>
      <c r="G199" s="404">
        <f t="shared" si="90"/>
        <v>0</v>
      </c>
      <c r="H199" s="405">
        <f>Mineral!D24</f>
        <v>0</v>
      </c>
      <c r="I199" s="406">
        <f>Mineral!E24</f>
        <v>0.12</v>
      </c>
      <c r="J199" s="407">
        <f>Mineral!F24</f>
        <v>0.2</v>
      </c>
      <c r="K199" s="88">
        <v>1</v>
      </c>
      <c r="L199" s="16"/>
      <c r="M199" s="190" t="s">
        <v>370</v>
      </c>
      <c r="N199" s="95">
        <f t="shared" si="91"/>
        <v>0</v>
      </c>
      <c r="O199" s="15">
        <f t="shared" si="92"/>
        <v>0</v>
      </c>
      <c r="P199" s="1705">
        <f t="shared" si="93"/>
        <v>0</v>
      </c>
      <c r="Q199" s="1708" t="e">
        <f t="shared" si="94"/>
        <v>#N/A</v>
      </c>
      <c r="R199"/>
      <c r="S199"/>
      <c r="T199"/>
      <c r="AI199" s="131"/>
      <c r="AJ199" s="9"/>
    </row>
    <row r="200" spans="1:36">
      <c r="A200" s="1">
        <v>39</v>
      </c>
      <c r="B200" s="102"/>
      <c r="C200" s="75" t="str">
        <f>CONCATENATE(A200," - ",Mineral!A25)</f>
        <v>39 - DC 44 spez</v>
      </c>
      <c r="D200" s="15">
        <f>Mineral!C25</f>
        <v>0</v>
      </c>
      <c r="E200" s="16">
        <f t="shared" si="75"/>
        <v>0</v>
      </c>
      <c r="F200" s="403">
        <f t="shared" si="89"/>
        <v>0</v>
      </c>
      <c r="G200" s="404">
        <f t="shared" si="90"/>
        <v>0</v>
      </c>
      <c r="H200" s="405">
        <f>Mineral!D25</f>
        <v>0</v>
      </c>
      <c r="I200" s="406">
        <f>Mineral!E25</f>
        <v>0.1</v>
      </c>
      <c r="J200" s="407">
        <f>Mineral!F25</f>
        <v>0.30000000000000004</v>
      </c>
      <c r="K200" s="88">
        <v>1</v>
      </c>
      <c r="L200" s="16"/>
      <c r="M200" s="190" t="s">
        <v>370</v>
      </c>
      <c r="N200" s="95">
        <f t="shared" si="91"/>
        <v>0</v>
      </c>
      <c r="O200" s="15">
        <f t="shared" si="92"/>
        <v>0</v>
      </c>
      <c r="P200" s="1705">
        <f t="shared" si="93"/>
        <v>0</v>
      </c>
      <c r="Q200" s="1708" t="e">
        <f t="shared" si="94"/>
        <v>#N/A</v>
      </c>
      <c r="R200"/>
      <c r="S200"/>
      <c r="T200"/>
      <c r="AI200" s="131"/>
      <c r="AJ200" s="9"/>
    </row>
    <row r="201" spans="1:36">
      <c r="A201" s="1">
        <v>40</v>
      </c>
      <c r="B201" s="102"/>
      <c r="C201" s="75" t="str">
        <f>CONCATENATE(A201," - ",Mineral!A26)</f>
        <v>40 - Hyperkali</v>
      </c>
      <c r="D201" s="15">
        <f>Mineral!C26</f>
        <v>0</v>
      </c>
      <c r="E201" s="16">
        <f t="shared" si="75"/>
        <v>0</v>
      </c>
      <c r="F201" s="403">
        <f t="shared" si="89"/>
        <v>0</v>
      </c>
      <c r="G201" s="404">
        <f t="shared" si="90"/>
        <v>0</v>
      </c>
      <c r="H201" s="405">
        <f>Mineral!D26</f>
        <v>0</v>
      </c>
      <c r="I201" s="406">
        <f>Mineral!E26</f>
        <v>0.22</v>
      </c>
      <c r="J201" s="407">
        <f>Mineral!F26</f>
        <v>0.1</v>
      </c>
      <c r="K201" s="88">
        <v>1</v>
      </c>
      <c r="L201" s="16"/>
      <c r="M201" s="190" t="s">
        <v>370</v>
      </c>
      <c r="N201" s="95">
        <f t="shared" si="91"/>
        <v>0</v>
      </c>
      <c r="O201" s="15">
        <f t="shared" si="92"/>
        <v>0</v>
      </c>
      <c r="P201" s="1705">
        <f t="shared" si="93"/>
        <v>0</v>
      </c>
      <c r="Q201" s="1708" t="e">
        <f t="shared" si="94"/>
        <v>#N/A</v>
      </c>
      <c r="R201"/>
      <c r="AJ201" s="9"/>
    </row>
    <row r="202" spans="1:36">
      <c r="A202" s="1">
        <v>41</v>
      </c>
      <c r="B202" s="102"/>
      <c r="C202" s="75" t="str">
        <f>CONCATENATE(A202," - ",Mineral!A27)</f>
        <v>41 - Hyperkali</v>
      </c>
      <c r="D202" s="15">
        <f>Mineral!C27</f>
        <v>0</v>
      </c>
      <c r="E202" s="16">
        <f t="shared" si="75"/>
        <v>0</v>
      </c>
      <c r="F202" s="403">
        <f t="shared" si="89"/>
        <v>0</v>
      </c>
      <c r="G202" s="404">
        <f t="shared" si="90"/>
        <v>0</v>
      </c>
      <c r="H202" s="405">
        <f>Mineral!D27</f>
        <v>0</v>
      </c>
      <c r="I202" s="406">
        <f>Mineral!E27</f>
        <v>0.18</v>
      </c>
      <c r="J202" s="407">
        <f>Mineral!F27</f>
        <v>0.18</v>
      </c>
      <c r="K202" s="88">
        <v>1</v>
      </c>
      <c r="L202" s="16"/>
      <c r="M202" s="190" t="s">
        <v>370</v>
      </c>
      <c r="N202" s="95">
        <f t="shared" si="91"/>
        <v>0</v>
      </c>
      <c r="O202" s="15">
        <f t="shared" si="92"/>
        <v>0</v>
      </c>
      <c r="P202" s="1705">
        <f t="shared" si="93"/>
        <v>0</v>
      </c>
      <c r="Q202" s="1708" t="e">
        <f t="shared" si="94"/>
        <v>#N/A</v>
      </c>
      <c r="R202"/>
      <c r="AJ202" s="9"/>
    </row>
    <row r="203" spans="1:36">
      <c r="A203" s="1">
        <v>42</v>
      </c>
      <c r="B203" s="102"/>
      <c r="C203" s="75" t="str">
        <f>CONCATENATE(A203," - ",Mineral!A28)</f>
        <v>42 - DC start</v>
      </c>
      <c r="D203" s="15">
        <f>Mineral!C28</f>
        <v>0</v>
      </c>
      <c r="E203" s="16">
        <f t="shared" si="75"/>
        <v>0</v>
      </c>
      <c r="F203" s="403">
        <f t="shared" si="89"/>
        <v>0.06</v>
      </c>
      <c r="G203" s="404">
        <f t="shared" si="90"/>
        <v>0.06</v>
      </c>
      <c r="H203" s="405">
        <f>Mineral!D28</f>
        <v>0.06</v>
      </c>
      <c r="I203" s="406">
        <f>Mineral!E28</f>
        <v>0.1</v>
      </c>
      <c r="J203" s="407">
        <f>Mineral!F28</f>
        <v>0.16</v>
      </c>
      <c r="K203" s="88">
        <v>1</v>
      </c>
      <c r="L203" s="16"/>
      <c r="M203" s="190" t="s">
        <v>370</v>
      </c>
      <c r="N203" s="95">
        <f t="shared" si="91"/>
        <v>0</v>
      </c>
      <c r="O203" s="15">
        <f t="shared" si="92"/>
        <v>0</v>
      </c>
      <c r="P203" s="1705">
        <f t="shared" si="93"/>
        <v>0</v>
      </c>
      <c r="Q203" s="1708" t="e">
        <f t="shared" si="94"/>
        <v>#N/A</v>
      </c>
      <c r="R203"/>
      <c r="AJ203" s="9"/>
    </row>
    <row r="204" spans="1:36">
      <c r="A204" s="1">
        <v>43</v>
      </c>
      <c r="B204" s="102"/>
      <c r="C204" s="75" t="str">
        <f>CONCATENATE(A204," - ",Mineral!A29)</f>
        <v>43 - DC 37</v>
      </c>
      <c r="D204" s="15">
        <f>Mineral!C29</f>
        <v>0</v>
      </c>
      <c r="E204" s="16">
        <f t="shared" si="75"/>
        <v>0</v>
      </c>
      <c r="F204" s="403">
        <f t="shared" si="89"/>
        <v>0.12</v>
      </c>
      <c r="G204" s="404">
        <f t="shared" si="90"/>
        <v>0.12</v>
      </c>
      <c r="H204" s="405">
        <f>Mineral!D29</f>
        <v>0.12</v>
      </c>
      <c r="I204" s="406">
        <f>Mineral!E29</f>
        <v>0.1</v>
      </c>
      <c r="J204" s="407">
        <f>Mineral!F29</f>
        <v>0.15</v>
      </c>
      <c r="K204" s="88">
        <v>1</v>
      </c>
      <c r="L204" s="16"/>
      <c r="M204" s="190" t="s">
        <v>370</v>
      </c>
      <c r="N204" s="95">
        <f t="shared" si="91"/>
        <v>0</v>
      </c>
      <c r="O204" s="15">
        <f t="shared" si="92"/>
        <v>0</v>
      </c>
      <c r="P204" s="1705">
        <f t="shared" si="93"/>
        <v>0</v>
      </c>
      <c r="Q204" s="1708" t="e">
        <f t="shared" si="94"/>
        <v>#N/A</v>
      </c>
      <c r="R204"/>
      <c r="AJ204" s="9"/>
    </row>
    <row r="205" spans="1:36">
      <c r="A205" s="1">
        <v>44</v>
      </c>
      <c r="B205" s="102"/>
      <c r="C205" s="75" t="str">
        <f>CONCATENATE(A205," - ",Mineral!A30)</f>
        <v>44 - DC (13 / 5 / 15+15 S)</v>
      </c>
      <c r="D205" s="15">
        <f>Mineral!C30</f>
        <v>0</v>
      </c>
      <c r="E205" s="16">
        <f t="shared" si="75"/>
        <v>0</v>
      </c>
      <c r="F205" s="403">
        <f t="shared" si="89"/>
        <v>0.13</v>
      </c>
      <c r="G205" s="404">
        <f t="shared" si="90"/>
        <v>0.13</v>
      </c>
      <c r="H205" s="405">
        <f>Mineral!D30</f>
        <v>0.13</v>
      </c>
      <c r="I205" s="406">
        <f>Mineral!E30</f>
        <v>0.05</v>
      </c>
      <c r="J205" s="407">
        <f>Mineral!F30</f>
        <v>0.15</v>
      </c>
      <c r="K205" s="88">
        <v>1</v>
      </c>
      <c r="L205" s="16"/>
      <c r="M205" s="190" t="s">
        <v>370</v>
      </c>
      <c r="N205" s="95">
        <f t="shared" si="91"/>
        <v>0</v>
      </c>
      <c r="O205" s="15">
        <f t="shared" si="92"/>
        <v>0</v>
      </c>
      <c r="P205" s="1705">
        <f t="shared" si="93"/>
        <v>0</v>
      </c>
      <c r="Q205" s="1708" t="e">
        <f t="shared" si="94"/>
        <v>#N/A</v>
      </c>
      <c r="R205"/>
      <c r="AJ205" s="9"/>
    </row>
    <row r="206" spans="1:36">
      <c r="A206" s="1">
        <v>45</v>
      </c>
      <c r="B206" s="102"/>
      <c r="C206" s="75" t="str">
        <f>CONCATENATE(A206," - ",Mineral!A31)</f>
        <v>45 - DC (15 / 5 / 5+18 S)</v>
      </c>
      <c r="D206" s="15">
        <f>Mineral!C31</f>
        <v>0</v>
      </c>
      <c r="E206" s="16">
        <f t="shared" si="75"/>
        <v>0</v>
      </c>
      <c r="F206" s="403">
        <f t="shared" si="89"/>
        <v>0.15</v>
      </c>
      <c r="G206" s="404">
        <f t="shared" si="90"/>
        <v>0.15</v>
      </c>
      <c r="H206" s="405">
        <f>Mineral!D31</f>
        <v>0.15</v>
      </c>
      <c r="I206" s="406">
        <f>Mineral!E31</f>
        <v>0.05</v>
      </c>
      <c r="J206" s="407">
        <f>Mineral!F31</f>
        <v>0.05</v>
      </c>
      <c r="K206" s="88">
        <v>1</v>
      </c>
      <c r="L206" s="16"/>
      <c r="M206" s="190" t="s">
        <v>370</v>
      </c>
      <c r="N206" s="95">
        <f t="shared" si="91"/>
        <v>0</v>
      </c>
      <c r="O206" s="15">
        <f t="shared" si="92"/>
        <v>0</v>
      </c>
      <c r="P206" s="1705">
        <f t="shared" si="93"/>
        <v>0</v>
      </c>
      <c r="Q206" s="1708" t="e">
        <f t="shared" si="94"/>
        <v>#N/A</v>
      </c>
      <c r="R206"/>
      <c r="AJ206" s="9"/>
    </row>
    <row r="207" spans="1:36">
      <c r="A207" s="1">
        <v>46</v>
      </c>
      <c r="B207" s="102"/>
      <c r="C207" s="75" t="str">
        <f>CONCATENATE(A207," - ",Mineral!A32)</f>
        <v>46 - Complex orange (Linzer Pro)</v>
      </c>
      <c r="D207" s="15">
        <f>Mineral!C32</f>
        <v>0</v>
      </c>
      <c r="E207" s="16">
        <f t="shared" si="75"/>
        <v>0</v>
      </c>
      <c r="F207" s="403">
        <f t="shared" si="89"/>
        <v>0.14000000000000001</v>
      </c>
      <c r="G207" s="404">
        <f t="shared" si="90"/>
        <v>0.14000000000000001</v>
      </c>
      <c r="H207" s="405">
        <f>Mineral!D32</f>
        <v>0.14000000000000001</v>
      </c>
      <c r="I207" s="406">
        <f>Mineral!E32</f>
        <v>0.1</v>
      </c>
      <c r="J207" s="407">
        <f>Mineral!F32</f>
        <v>0.2</v>
      </c>
      <c r="K207" s="88">
        <v>1</v>
      </c>
      <c r="L207" s="16"/>
      <c r="M207" s="190" t="s">
        <v>370</v>
      </c>
      <c r="N207" s="95">
        <f t="shared" si="91"/>
        <v>0</v>
      </c>
      <c r="O207" s="15">
        <f t="shared" si="92"/>
        <v>0</v>
      </c>
      <c r="P207" s="1705">
        <f t="shared" si="93"/>
        <v>0</v>
      </c>
      <c r="Q207" s="1708" t="e">
        <f t="shared" si="94"/>
        <v>#N/A</v>
      </c>
      <c r="R207"/>
      <c r="AJ207" s="9"/>
    </row>
    <row r="208" spans="1:36">
      <c r="A208" s="1">
        <v>47</v>
      </c>
      <c r="B208" s="102"/>
      <c r="C208" s="75" t="str">
        <f>CONCATENATE(A208," - ",Mineral!A33)</f>
        <v>47 - Complex gelb (Linzer Star)</v>
      </c>
      <c r="D208" s="15">
        <f>Mineral!C33</f>
        <v>0</v>
      </c>
      <c r="E208" s="16">
        <f t="shared" si="75"/>
        <v>0</v>
      </c>
      <c r="F208" s="403">
        <f t="shared" si="89"/>
        <v>0.15</v>
      </c>
      <c r="G208" s="404">
        <f t="shared" si="90"/>
        <v>0.15</v>
      </c>
      <c r="H208" s="405">
        <f>Mineral!D33</f>
        <v>0.15</v>
      </c>
      <c r="I208" s="406">
        <f>Mineral!E33</f>
        <v>0.15</v>
      </c>
      <c r="J208" s="407">
        <f>Mineral!F33</f>
        <v>0.15</v>
      </c>
      <c r="K208" s="88">
        <v>1</v>
      </c>
      <c r="L208" s="16"/>
      <c r="M208" s="190" t="s">
        <v>370</v>
      </c>
      <c r="N208" s="95">
        <f t="shared" si="91"/>
        <v>0</v>
      </c>
      <c r="O208" s="15">
        <f t="shared" si="92"/>
        <v>0</v>
      </c>
      <c r="P208" s="1705">
        <f t="shared" si="93"/>
        <v>0</v>
      </c>
      <c r="Q208" s="1708" t="e">
        <f t="shared" si="94"/>
        <v>#N/A</v>
      </c>
      <c r="R208"/>
      <c r="AJ208" s="9"/>
    </row>
    <row r="209" spans="1:36">
      <c r="A209" s="1">
        <v>48</v>
      </c>
      <c r="B209" s="102"/>
      <c r="C209" s="75" t="str">
        <f>CONCATENATE(A209," - ",Mineral!A34)</f>
        <v>48 - Complex blaugrün (Linzer Plus)</v>
      </c>
      <c r="D209" s="15">
        <f>Mineral!C34</f>
        <v>0</v>
      </c>
      <c r="E209" s="16">
        <f t="shared" si="75"/>
        <v>0</v>
      </c>
      <c r="F209" s="403">
        <f t="shared" si="89"/>
        <v>0.2</v>
      </c>
      <c r="G209" s="404">
        <f t="shared" si="90"/>
        <v>0.2</v>
      </c>
      <c r="H209" s="405">
        <f>Mineral!D34</f>
        <v>0.2</v>
      </c>
      <c r="I209" s="406">
        <f>Mineral!E34</f>
        <v>0.08</v>
      </c>
      <c r="J209" s="407">
        <f>Mineral!F34</f>
        <v>0.08</v>
      </c>
      <c r="K209" s="88">
        <v>1</v>
      </c>
      <c r="L209" s="16"/>
      <c r="M209" s="190" t="s">
        <v>370</v>
      </c>
      <c r="N209" s="95">
        <f t="shared" si="91"/>
        <v>0</v>
      </c>
      <c r="O209" s="15">
        <f t="shared" si="92"/>
        <v>0</v>
      </c>
      <c r="P209" s="1705">
        <f t="shared" si="93"/>
        <v>0</v>
      </c>
      <c r="Q209" s="1708" t="e">
        <f t="shared" si="94"/>
        <v>#N/A</v>
      </c>
      <c r="R209"/>
      <c r="S209"/>
      <c r="T209"/>
      <c r="AI209" s="131"/>
      <c r="AJ209" s="9"/>
    </row>
    <row r="210" spans="1:36">
      <c r="A210" s="1">
        <v>49</v>
      </c>
      <c r="B210" s="102"/>
      <c r="C210" s="75" t="str">
        <f>CONCATENATE(A210," - ",Mineral!A35)</f>
        <v>49 - Complex blau (15/5/18)</v>
      </c>
      <c r="D210" s="15">
        <f>Mineral!C35</f>
        <v>0</v>
      </c>
      <c r="E210" s="16">
        <f t="shared" si="75"/>
        <v>0</v>
      </c>
      <c r="F210" s="403">
        <f t="shared" si="89"/>
        <v>0.15</v>
      </c>
      <c r="G210" s="404">
        <f t="shared" si="90"/>
        <v>0.15</v>
      </c>
      <c r="H210" s="405">
        <f>Mineral!D35</f>
        <v>0.15</v>
      </c>
      <c r="I210" s="406">
        <f>Mineral!E35</f>
        <v>0.05</v>
      </c>
      <c r="J210" s="407">
        <f>Mineral!F35</f>
        <v>0.18</v>
      </c>
      <c r="K210" s="88">
        <v>1</v>
      </c>
      <c r="L210" s="16"/>
      <c r="M210" s="190" t="s">
        <v>370</v>
      </c>
      <c r="N210" s="95">
        <f t="shared" si="91"/>
        <v>0</v>
      </c>
      <c r="O210" s="15">
        <f t="shared" si="92"/>
        <v>0</v>
      </c>
      <c r="P210" s="1705">
        <f t="shared" si="93"/>
        <v>0</v>
      </c>
      <c r="Q210" s="1708" t="e">
        <f t="shared" si="94"/>
        <v>#N/A</v>
      </c>
      <c r="R210"/>
      <c r="S210"/>
      <c r="T210"/>
      <c r="AI210" s="131"/>
      <c r="AJ210" s="9"/>
    </row>
    <row r="211" spans="1:36" ht="15" customHeight="1">
      <c r="A211" s="1">
        <v>50</v>
      </c>
      <c r="B211" s="102"/>
      <c r="C211" s="75" t="str">
        <f>CONCATENATE(A211," - ",Mineral!A36)</f>
        <v>50 - Complex rot (Linzer Top)</v>
      </c>
      <c r="D211" s="15">
        <f>Mineral!C36</f>
        <v>0</v>
      </c>
      <c r="E211" s="16">
        <f t="shared" si="75"/>
        <v>0</v>
      </c>
      <c r="F211" s="403">
        <f t="shared" si="89"/>
        <v>0.12</v>
      </c>
      <c r="G211" s="404">
        <f t="shared" si="90"/>
        <v>0.12</v>
      </c>
      <c r="H211" s="405">
        <f>Mineral!D36</f>
        <v>0.12</v>
      </c>
      <c r="I211" s="406">
        <f>Mineral!E36</f>
        <v>0.12</v>
      </c>
      <c r="J211" s="407">
        <f>Mineral!F36</f>
        <v>0.17</v>
      </c>
      <c r="K211" s="426">
        <v>1</v>
      </c>
      <c r="L211" s="16"/>
      <c r="M211" s="190" t="s">
        <v>370</v>
      </c>
      <c r="N211" s="95">
        <f t="shared" si="91"/>
        <v>0</v>
      </c>
      <c r="O211" s="15">
        <f t="shared" si="92"/>
        <v>0</v>
      </c>
      <c r="P211" s="1705">
        <f t="shared" si="93"/>
        <v>0</v>
      </c>
      <c r="Q211" s="1708" t="e">
        <f t="shared" si="94"/>
        <v>#N/A</v>
      </c>
      <c r="R211"/>
      <c r="S211"/>
      <c r="T211"/>
      <c r="AI211" s="131"/>
      <c r="AJ211" s="9"/>
    </row>
    <row r="212" spans="1:36">
      <c r="A212" s="1">
        <v>51</v>
      </c>
      <c r="B212" s="102"/>
      <c r="C212" s="75" t="str">
        <f>CONCATENATE(A212," - ",Mineral!A37)</f>
        <v>51 - Vario 18/11/11</v>
      </c>
      <c r="D212" s="15">
        <f>Mineral!C37</f>
        <v>0</v>
      </c>
      <c r="E212" s="16">
        <f t="shared" si="75"/>
        <v>0</v>
      </c>
      <c r="F212" s="427">
        <f t="shared" si="89"/>
        <v>0.18</v>
      </c>
      <c r="G212" s="428">
        <f t="shared" si="90"/>
        <v>0.18</v>
      </c>
      <c r="H212" s="405">
        <f>Mineral!D37</f>
        <v>0.18</v>
      </c>
      <c r="I212" s="406">
        <f>Mineral!E37</f>
        <v>0.11</v>
      </c>
      <c r="J212" s="407">
        <f>Mineral!F37</f>
        <v>0.11</v>
      </c>
      <c r="K212" s="429">
        <f>Mineral!J37</f>
        <v>1</v>
      </c>
      <c r="L212" s="16"/>
      <c r="M212" s="190" t="s">
        <v>370</v>
      </c>
      <c r="N212" s="95">
        <f t="shared" si="91"/>
        <v>0</v>
      </c>
      <c r="O212" s="15">
        <f t="shared" si="92"/>
        <v>0</v>
      </c>
      <c r="P212" s="1705">
        <f t="shared" si="93"/>
        <v>0</v>
      </c>
      <c r="Q212" s="1708" t="e">
        <f t="shared" si="94"/>
        <v>#N/A</v>
      </c>
      <c r="R212"/>
      <c r="S212"/>
      <c r="T212"/>
      <c r="AI212" s="131"/>
      <c r="AJ212" s="9"/>
    </row>
    <row r="213" spans="1:36">
      <c r="A213" s="1">
        <v>52</v>
      </c>
      <c r="B213" s="102"/>
      <c r="C213" s="75" t="str">
        <f>CONCATENATE(A213," - ",Mineral!A38)</f>
        <v>52 - Vario 20/7/7</v>
      </c>
      <c r="D213" s="15">
        <f>Mineral!C38</f>
        <v>0</v>
      </c>
      <c r="E213" s="16">
        <f t="shared" si="75"/>
        <v>0</v>
      </c>
      <c r="F213" s="427">
        <f t="shared" si="89"/>
        <v>0.2</v>
      </c>
      <c r="G213" s="428">
        <f t="shared" si="90"/>
        <v>0.2</v>
      </c>
      <c r="H213" s="430">
        <f>Mineral!D38</f>
        <v>0.2</v>
      </c>
      <c r="I213" s="427">
        <f>Mineral!E38</f>
        <v>7.0000000000000007E-2</v>
      </c>
      <c r="J213" s="431">
        <f>Mineral!F38</f>
        <v>7.0000000000000007E-2</v>
      </c>
      <c r="K213" s="429">
        <f>Mineral!J38</f>
        <v>1</v>
      </c>
      <c r="L213" s="16"/>
      <c r="M213" s="190" t="s">
        <v>370</v>
      </c>
      <c r="N213" s="95">
        <f t="shared" si="91"/>
        <v>0</v>
      </c>
      <c r="O213" s="15">
        <f t="shared" si="92"/>
        <v>0</v>
      </c>
      <c r="P213" s="1705">
        <f t="shared" si="93"/>
        <v>0</v>
      </c>
      <c r="Q213" s="1708" t="e">
        <f t="shared" si="94"/>
        <v>#N/A</v>
      </c>
      <c r="R213"/>
      <c r="S213"/>
      <c r="T213"/>
      <c r="AI213" s="131"/>
      <c r="AJ213" s="9"/>
    </row>
    <row r="214" spans="1:36">
      <c r="A214" s="1">
        <v>53</v>
      </c>
      <c r="B214" s="102"/>
      <c r="C214" s="75" t="str">
        <f>CONCATENATE(A214," - ",Mineral!A39)</f>
        <v>53 - Vario 21/7/7</v>
      </c>
      <c r="D214" s="15">
        <f>Mineral!C39</f>
        <v>0</v>
      </c>
      <c r="E214" s="16">
        <f t="shared" si="75"/>
        <v>0</v>
      </c>
      <c r="F214" s="427">
        <f t="shared" si="89"/>
        <v>0.21</v>
      </c>
      <c r="G214" s="428">
        <f t="shared" si="90"/>
        <v>0.21</v>
      </c>
      <c r="H214" s="430">
        <f>Mineral!D39</f>
        <v>0.21</v>
      </c>
      <c r="I214" s="427">
        <f>Mineral!E39</f>
        <v>7.0000000000000007E-2</v>
      </c>
      <c r="J214" s="431">
        <f>Mineral!F39</f>
        <v>7.0000000000000007E-2</v>
      </c>
      <c r="K214" s="429">
        <f>Mineral!J39</f>
        <v>1</v>
      </c>
      <c r="L214" s="16"/>
      <c r="M214" s="190" t="s">
        <v>370</v>
      </c>
      <c r="N214" s="95">
        <f t="shared" si="91"/>
        <v>0</v>
      </c>
      <c r="O214" s="15">
        <f t="shared" si="92"/>
        <v>0</v>
      </c>
      <c r="P214" s="1705">
        <f t="shared" si="93"/>
        <v>0</v>
      </c>
      <c r="Q214" s="1708" t="e">
        <f t="shared" si="94"/>
        <v>#N/A</v>
      </c>
      <c r="R214"/>
      <c r="S214"/>
      <c r="T214"/>
      <c r="AI214" s="131"/>
      <c r="AJ214" s="9"/>
    </row>
    <row r="215" spans="1:36">
      <c r="A215" s="1">
        <v>54</v>
      </c>
      <c r="B215" s="102"/>
      <c r="C215" s="75" t="str">
        <f>CONCATENATE(A215," - ",Mineral!A40)</f>
        <v>54 - Sonstige 1</v>
      </c>
      <c r="D215" s="15">
        <f>Mineral!C40</f>
        <v>0</v>
      </c>
      <c r="E215" s="16">
        <f t="shared" si="75"/>
        <v>0</v>
      </c>
      <c r="F215" s="427">
        <f t="shared" si="89"/>
        <v>0</v>
      </c>
      <c r="G215" s="428">
        <f t="shared" si="90"/>
        <v>0</v>
      </c>
      <c r="H215" s="430">
        <f>Mineral!D40</f>
        <v>0</v>
      </c>
      <c r="I215" s="427">
        <f>Mineral!E40</f>
        <v>0</v>
      </c>
      <c r="J215" s="431">
        <f>Mineral!F40</f>
        <v>0</v>
      </c>
      <c r="K215" s="429">
        <f>Mineral!J40</f>
        <v>1</v>
      </c>
      <c r="L215" s="16"/>
      <c r="M215" s="190" t="s">
        <v>370</v>
      </c>
      <c r="N215" s="95">
        <f t="shared" si="91"/>
        <v>0</v>
      </c>
      <c r="O215" s="15">
        <f t="shared" si="92"/>
        <v>0</v>
      </c>
      <c r="P215" s="1705">
        <f t="shared" si="93"/>
        <v>0</v>
      </c>
      <c r="Q215" s="1708" t="e">
        <f t="shared" si="94"/>
        <v>#N/A</v>
      </c>
      <c r="R215"/>
      <c r="S215"/>
      <c r="T215"/>
      <c r="AI215" s="131"/>
      <c r="AJ215" s="9"/>
    </row>
    <row r="216" spans="1:36">
      <c r="A216" s="1">
        <v>55</v>
      </c>
      <c r="B216" s="102"/>
      <c r="C216" s="75" t="str">
        <f>CONCATENATE(A216," - ",Mineral!A41)</f>
        <v>55 - Sonstige 2</v>
      </c>
      <c r="D216" s="15">
        <f>Mineral!C41</f>
        <v>0</v>
      </c>
      <c r="E216" s="16">
        <f t="shared" si="75"/>
        <v>0</v>
      </c>
      <c r="F216" s="427">
        <f t="shared" si="89"/>
        <v>0</v>
      </c>
      <c r="G216" s="428">
        <f t="shared" si="90"/>
        <v>0</v>
      </c>
      <c r="H216" s="430">
        <f>Mineral!D41</f>
        <v>0</v>
      </c>
      <c r="I216" s="427">
        <f>Mineral!E41</f>
        <v>0</v>
      </c>
      <c r="J216" s="431">
        <f>Mineral!F41</f>
        <v>0</v>
      </c>
      <c r="K216" s="429">
        <f>Mineral!J41</f>
        <v>1</v>
      </c>
      <c r="L216" s="16"/>
      <c r="M216" s="190" t="s">
        <v>370</v>
      </c>
      <c r="N216" s="95">
        <f t="shared" si="91"/>
        <v>0</v>
      </c>
      <c r="O216" s="15">
        <f t="shared" si="92"/>
        <v>0</v>
      </c>
      <c r="P216" s="1705">
        <f t="shared" si="93"/>
        <v>0</v>
      </c>
      <c r="Q216" s="1708" t="e">
        <f t="shared" si="94"/>
        <v>#N/A</v>
      </c>
      <c r="R216"/>
      <c r="S216"/>
      <c r="T216"/>
      <c r="AI216" s="131"/>
      <c r="AJ216" s="9"/>
    </row>
    <row r="217" spans="1:36">
      <c r="A217" s="1">
        <v>56</v>
      </c>
      <c r="B217" s="102"/>
      <c r="C217" s="75" t="str">
        <f>CONCATENATE(A217," - ",Mineral!A42)</f>
        <v>56 - Sonstige 3</v>
      </c>
      <c r="D217" s="15">
        <f>Mineral!C42</f>
        <v>0</v>
      </c>
      <c r="E217" s="16">
        <f t="shared" si="75"/>
        <v>0</v>
      </c>
      <c r="F217" s="427">
        <f t="shared" si="89"/>
        <v>0</v>
      </c>
      <c r="G217" s="428">
        <f t="shared" si="90"/>
        <v>0</v>
      </c>
      <c r="H217" s="430">
        <f>Mineral!D42</f>
        <v>0</v>
      </c>
      <c r="I217" s="427">
        <f>Mineral!E42</f>
        <v>0</v>
      </c>
      <c r="J217" s="431">
        <f>Mineral!F42</f>
        <v>0</v>
      </c>
      <c r="K217" s="429">
        <f>Mineral!J42</f>
        <v>1</v>
      </c>
      <c r="L217" s="16"/>
      <c r="M217" s="190" t="s">
        <v>370</v>
      </c>
      <c r="N217" s="95">
        <f t="shared" si="91"/>
        <v>0</v>
      </c>
      <c r="O217" s="15">
        <f t="shared" si="92"/>
        <v>0</v>
      </c>
      <c r="P217" s="1705">
        <f t="shared" si="93"/>
        <v>0</v>
      </c>
      <c r="Q217" s="1708" t="e">
        <f t="shared" si="94"/>
        <v>#N/A</v>
      </c>
      <c r="R217"/>
      <c r="S217"/>
      <c r="T217"/>
      <c r="AI217" s="131"/>
      <c r="AJ217" s="9"/>
    </row>
    <row r="218" spans="1:36">
      <c r="A218" s="1">
        <v>57</v>
      </c>
      <c r="B218" s="102"/>
      <c r="C218" s="75" t="str">
        <f>CONCATENATE(A218," - ",Mineral!A43)</f>
        <v>57 - Sonstige</v>
      </c>
      <c r="D218" s="15">
        <f>Mineral!C43</f>
        <v>0</v>
      </c>
      <c r="E218" s="16">
        <f t="shared" si="75"/>
        <v>0</v>
      </c>
      <c r="F218" s="427">
        <f t="shared" si="89"/>
        <v>0</v>
      </c>
      <c r="G218" s="428">
        <f t="shared" si="90"/>
        <v>0</v>
      </c>
      <c r="H218" s="430">
        <f>Mineral!D43</f>
        <v>0</v>
      </c>
      <c r="I218" s="427">
        <f>Mineral!E43</f>
        <v>0</v>
      </c>
      <c r="J218" s="431">
        <f>Mineral!F43</f>
        <v>0</v>
      </c>
      <c r="K218" s="429">
        <f>Mineral!J43</f>
        <v>1</v>
      </c>
      <c r="L218" s="16"/>
      <c r="M218" s="190" t="s">
        <v>370</v>
      </c>
      <c r="N218" s="95">
        <f t="shared" si="91"/>
        <v>0</v>
      </c>
      <c r="O218" s="15">
        <f t="shared" si="92"/>
        <v>0</v>
      </c>
      <c r="P218" s="1705">
        <f t="shared" si="93"/>
        <v>0</v>
      </c>
      <c r="Q218" s="1708" t="e">
        <f t="shared" si="94"/>
        <v>#N/A</v>
      </c>
      <c r="R218"/>
      <c r="S218"/>
      <c r="T218"/>
      <c r="AI218" s="131"/>
      <c r="AJ218" s="9"/>
    </row>
    <row r="219" spans="1:36">
      <c r="A219" s="1">
        <v>58</v>
      </c>
      <c r="B219" s="102"/>
      <c r="C219" s="75" t="str">
        <f>CONCATENATE(A219," - ",Mineral!A44)</f>
        <v>58 - Sonstige</v>
      </c>
      <c r="D219" s="15">
        <f>Mineral!C44</f>
        <v>0</v>
      </c>
      <c r="E219" s="16">
        <f t="shared" si="75"/>
        <v>0</v>
      </c>
      <c r="F219" s="427">
        <f t="shared" si="89"/>
        <v>0</v>
      </c>
      <c r="G219" s="428">
        <f t="shared" si="90"/>
        <v>0</v>
      </c>
      <c r="H219" s="430">
        <f>Mineral!D44</f>
        <v>0</v>
      </c>
      <c r="I219" s="427">
        <f>Mineral!E44</f>
        <v>0</v>
      </c>
      <c r="J219" s="431">
        <f>Mineral!F44</f>
        <v>0</v>
      </c>
      <c r="K219" s="429">
        <f>Mineral!J44</f>
        <v>1</v>
      </c>
      <c r="L219" s="16"/>
      <c r="M219" s="190" t="s">
        <v>370</v>
      </c>
      <c r="N219" s="95">
        <f t="shared" si="91"/>
        <v>0</v>
      </c>
      <c r="O219" s="15">
        <f t="shared" si="92"/>
        <v>0</v>
      </c>
      <c r="P219" s="1705">
        <f t="shared" si="93"/>
        <v>0</v>
      </c>
      <c r="Q219" s="1708" t="e">
        <f t="shared" si="94"/>
        <v>#N/A</v>
      </c>
      <c r="R219"/>
      <c r="S219"/>
      <c r="T219"/>
      <c r="AI219" s="131"/>
      <c r="AJ219" s="9"/>
    </row>
    <row r="220" spans="1:36">
      <c r="A220" s="1">
        <v>59</v>
      </c>
      <c r="B220" s="102"/>
      <c r="C220" s="75" t="str">
        <f>CONCATENATE(A220," - ",Mineral!A45)</f>
        <v>59 - Sonstige</v>
      </c>
      <c r="D220" s="15">
        <f>Mineral!C45</f>
        <v>0</v>
      </c>
      <c r="E220" s="16">
        <f t="shared" si="75"/>
        <v>0</v>
      </c>
      <c r="F220" s="427">
        <f t="shared" si="89"/>
        <v>0</v>
      </c>
      <c r="G220" s="428">
        <f t="shared" si="90"/>
        <v>0</v>
      </c>
      <c r="H220" s="430">
        <f>Mineral!D45</f>
        <v>0</v>
      </c>
      <c r="I220" s="427">
        <f>Mineral!E45</f>
        <v>0</v>
      </c>
      <c r="J220" s="431">
        <f>Mineral!F45</f>
        <v>0</v>
      </c>
      <c r="K220" s="429">
        <f>Mineral!J45</f>
        <v>1</v>
      </c>
      <c r="L220" s="16"/>
      <c r="M220" s="190" t="s">
        <v>370</v>
      </c>
      <c r="N220" s="95">
        <f t="shared" si="91"/>
        <v>0</v>
      </c>
      <c r="O220" s="15">
        <f t="shared" si="92"/>
        <v>0</v>
      </c>
      <c r="P220" s="1705">
        <f t="shared" si="93"/>
        <v>0</v>
      </c>
      <c r="Q220" s="1708" t="e">
        <f t="shared" si="94"/>
        <v>#N/A</v>
      </c>
      <c r="R220"/>
      <c r="S220"/>
      <c r="T220"/>
      <c r="AI220" s="131"/>
      <c r="AJ220" s="9"/>
    </row>
    <row r="221" spans="1:36">
      <c r="A221" s="1">
        <v>60</v>
      </c>
      <c r="B221" s="102"/>
      <c r="C221" s="75" t="str">
        <f>CONCATENATE(A221," - ",Mineral!A46)</f>
        <v>60 - Sonstige</v>
      </c>
      <c r="D221" s="15">
        <f>Mineral!C46</f>
        <v>0</v>
      </c>
      <c r="E221" s="16">
        <f t="shared" si="75"/>
        <v>0</v>
      </c>
      <c r="F221" s="427">
        <f t="shared" si="89"/>
        <v>0</v>
      </c>
      <c r="G221" s="428">
        <f t="shared" si="90"/>
        <v>0</v>
      </c>
      <c r="H221" s="430">
        <f>Mineral!D46</f>
        <v>0</v>
      </c>
      <c r="I221" s="427">
        <f>Mineral!E46</f>
        <v>0</v>
      </c>
      <c r="J221" s="431">
        <f>Mineral!F46</f>
        <v>0</v>
      </c>
      <c r="K221" s="429">
        <f>Mineral!J46</f>
        <v>1</v>
      </c>
      <c r="L221" s="16"/>
      <c r="M221" s="190" t="s">
        <v>370</v>
      </c>
      <c r="N221" s="95">
        <f t="shared" si="91"/>
        <v>0</v>
      </c>
      <c r="O221" s="15">
        <f t="shared" si="92"/>
        <v>0</v>
      </c>
      <c r="P221" s="1705">
        <f t="shared" si="93"/>
        <v>0</v>
      </c>
      <c r="Q221" s="1708" t="e">
        <f t="shared" si="94"/>
        <v>#N/A</v>
      </c>
      <c r="R221"/>
      <c r="S221"/>
      <c r="T221"/>
      <c r="AI221" s="131"/>
      <c r="AJ221" s="9"/>
    </row>
    <row r="222" spans="1:36">
      <c r="A222" s="1">
        <v>61</v>
      </c>
      <c r="B222" s="102"/>
      <c r="C222" s="75" t="str">
        <f>CONCATENATE(A222," - ",Mineral!A47)</f>
        <v>61 - Sonstige</v>
      </c>
      <c r="D222" s="15">
        <f>Mineral!C47</f>
        <v>0</v>
      </c>
      <c r="E222" s="16">
        <f t="shared" si="75"/>
        <v>0</v>
      </c>
      <c r="F222" s="427">
        <f t="shared" si="89"/>
        <v>0</v>
      </c>
      <c r="G222" s="428">
        <f t="shared" si="90"/>
        <v>0</v>
      </c>
      <c r="H222" s="430">
        <f>Mineral!D47</f>
        <v>0</v>
      </c>
      <c r="I222" s="427">
        <f>Mineral!E47</f>
        <v>0</v>
      </c>
      <c r="J222" s="431">
        <f>Mineral!F47</f>
        <v>0</v>
      </c>
      <c r="K222" s="429">
        <f>Mineral!J47</f>
        <v>1</v>
      </c>
      <c r="L222" s="16"/>
      <c r="M222" s="190" t="s">
        <v>370</v>
      </c>
      <c r="N222" s="95">
        <f t="shared" si="91"/>
        <v>0</v>
      </c>
      <c r="O222" s="15">
        <f t="shared" si="92"/>
        <v>0</v>
      </c>
      <c r="P222" s="1705">
        <f t="shared" si="93"/>
        <v>0</v>
      </c>
      <c r="Q222" s="1708" t="e">
        <f t="shared" si="94"/>
        <v>#N/A</v>
      </c>
      <c r="R222"/>
      <c r="S222"/>
      <c r="T222"/>
      <c r="AI222" s="131"/>
      <c r="AJ222" s="9"/>
    </row>
    <row r="223" spans="1:36">
      <c r="A223" s="1">
        <v>62</v>
      </c>
      <c r="B223" s="102"/>
      <c r="C223" s="75" t="str">
        <f>CONCATENATE(A223," - ",Mineral!A48)</f>
        <v>62 - Sonstige</v>
      </c>
      <c r="D223" s="15">
        <f>Mineral!C48</f>
        <v>0</v>
      </c>
      <c r="E223" s="16">
        <f t="shared" si="75"/>
        <v>0</v>
      </c>
      <c r="F223" s="427">
        <f t="shared" si="89"/>
        <v>0</v>
      </c>
      <c r="G223" s="428">
        <f t="shared" si="90"/>
        <v>0</v>
      </c>
      <c r="H223" s="430">
        <f>Mineral!D48</f>
        <v>0</v>
      </c>
      <c r="I223" s="427">
        <f>Mineral!E48</f>
        <v>0</v>
      </c>
      <c r="J223" s="431">
        <f>Mineral!F48</f>
        <v>0</v>
      </c>
      <c r="K223" s="429">
        <f>Mineral!J48</f>
        <v>1</v>
      </c>
      <c r="L223" s="16"/>
      <c r="M223" s="190" t="s">
        <v>370</v>
      </c>
      <c r="N223" s="95">
        <f t="shared" si="91"/>
        <v>0</v>
      </c>
      <c r="O223" s="15">
        <f t="shared" si="92"/>
        <v>0</v>
      </c>
      <c r="P223" s="1705">
        <f t="shared" si="93"/>
        <v>0</v>
      </c>
      <c r="Q223" s="1708" t="e">
        <f t="shared" si="94"/>
        <v>#N/A</v>
      </c>
      <c r="AI223" s="131"/>
      <c r="AJ223" s="9"/>
    </row>
    <row r="224" spans="1:36">
      <c r="A224" s="1">
        <v>63</v>
      </c>
      <c r="B224" s="102"/>
      <c r="C224" s="75" t="str">
        <f>CONCATENATE(A224," - ",Mineral!A49)</f>
        <v>63 - Sonstige</v>
      </c>
      <c r="D224" s="15">
        <f>Mineral!C49</f>
        <v>0</v>
      </c>
      <c r="E224" s="16">
        <f t="shared" si="75"/>
        <v>0</v>
      </c>
      <c r="F224" s="427">
        <f t="shared" si="89"/>
        <v>0</v>
      </c>
      <c r="G224" s="428">
        <f t="shared" si="90"/>
        <v>0</v>
      </c>
      <c r="H224" s="430">
        <f>Mineral!D49</f>
        <v>0</v>
      </c>
      <c r="I224" s="427">
        <f>Mineral!E49</f>
        <v>0</v>
      </c>
      <c r="J224" s="431">
        <f>Mineral!F49</f>
        <v>0</v>
      </c>
      <c r="K224" s="429">
        <f>Mineral!J49</f>
        <v>1</v>
      </c>
      <c r="L224" s="245"/>
      <c r="M224" s="197" t="s">
        <v>370</v>
      </c>
      <c r="N224" s="95">
        <f t="shared" si="91"/>
        <v>0</v>
      </c>
      <c r="O224" s="15">
        <f t="shared" si="92"/>
        <v>0</v>
      </c>
      <c r="P224" s="1705">
        <f t="shared" si="93"/>
        <v>0</v>
      </c>
      <c r="Q224" s="1708" t="e">
        <f t="shared" si="94"/>
        <v>#N/A</v>
      </c>
      <c r="AI224" s="131"/>
      <c r="AJ224" s="9"/>
    </row>
    <row r="225" spans="1:36" ht="15.75" thickBot="1">
      <c r="A225" s="1">
        <v>64</v>
      </c>
      <c r="B225" s="102"/>
      <c r="C225" s="75"/>
      <c r="D225" s="105"/>
      <c r="E225" s="105"/>
      <c r="F225" s="432" t="s">
        <v>180</v>
      </c>
      <c r="G225" s="433" t="s">
        <v>180</v>
      </c>
      <c r="H225" s="434" t="s">
        <v>377</v>
      </c>
      <c r="I225" s="435" t="s">
        <v>124</v>
      </c>
      <c r="J225" s="436" t="s">
        <v>125</v>
      </c>
      <c r="K225" s="437" t="s">
        <v>378</v>
      </c>
      <c r="L225" s="15"/>
      <c r="M225" s="190"/>
      <c r="N225" s="438"/>
      <c r="O225" s="439"/>
      <c r="P225" s="440"/>
      <c r="AI225" s="131"/>
      <c r="AJ225" s="9"/>
    </row>
    <row r="226" spans="1:36" ht="13.5" thickBot="1">
      <c r="M226" s="9" t="s">
        <v>379</v>
      </c>
      <c r="N226" s="441">
        <f>SUM(N159:N225)</f>
        <v>0</v>
      </c>
      <c r="O226" s="141">
        <f>SUM(O159:O225)</f>
        <v>0</v>
      </c>
      <c r="P226" s="156">
        <f>SUM(P159:P225)</f>
        <v>0</v>
      </c>
      <c r="AI226" s="131"/>
      <c r="AJ226" s="9"/>
    </row>
  </sheetData>
  <sheetProtection password="CC3A" sheet="1" objects="1" scenarios="1" formatCells="0" formatColumns="0" formatRows="0" insertColumns="0" insertRows="0"/>
  <mergeCells count="25">
    <mergeCell ref="CM3:CQ3"/>
    <mergeCell ref="CR3:CV3"/>
    <mergeCell ref="CW3:DA3"/>
    <mergeCell ref="Q174:R176"/>
    <mergeCell ref="DC3:DC4"/>
    <mergeCell ref="AJ4:AK4"/>
    <mergeCell ref="AY35:BA37"/>
    <mergeCell ref="BR3:BR4"/>
    <mergeCell ref="BS3:BS4"/>
    <mergeCell ref="BT3:BU3"/>
    <mergeCell ref="BV3:BZ3"/>
    <mergeCell ref="CB3:CF3"/>
    <mergeCell ref="CH3:CL3"/>
    <mergeCell ref="AY3:BA3"/>
    <mergeCell ref="BC3:BC4"/>
    <mergeCell ref="BD3:BH3"/>
    <mergeCell ref="BJ3:BN3"/>
    <mergeCell ref="BP3:BP4"/>
    <mergeCell ref="BQ3:BQ4"/>
    <mergeCell ref="AS3:AW3"/>
    <mergeCell ref="D2:H2"/>
    <mergeCell ref="I2:K2"/>
    <mergeCell ref="AJ2:AJ3"/>
    <mergeCell ref="AK2:AK3"/>
    <mergeCell ref="AR3:AR4"/>
  </mergeCells>
  <printOptions headings="1"/>
  <pageMargins left="0.31527777777777777" right="0.27569444444444446" top="0.39374999999999999" bottom="0.39374999999999999" header="0.51180555555555551" footer="0.51180555555555551"/>
  <pageSetup paperSize="9" firstPageNumber="0" orientation="landscape" horizontalDpi="300" verticalDpi="300"/>
  <headerFooter alignWithMargins="0"/>
  <rowBreaks count="2" manualBreakCount="2">
    <brk id="39" max="16383" man="1"/>
    <brk id="156" max="16383" man="1"/>
  </rowBreaks>
  <colBreaks count="3" manualBreakCount="3">
    <brk id="19" max="1048575" man="1"/>
    <brk id="41" max="1048575" man="1"/>
    <brk id="54"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AA128"/>
  <sheetViews>
    <sheetView showZeros="0" zoomScale="80" zoomScaleNormal="80" zoomScalePageLayoutView="80" workbookViewId="0">
      <selection activeCell="J1" sqref="J1:K1"/>
    </sheetView>
  </sheetViews>
  <sheetFormatPr baseColWidth="10" defaultColWidth="12.28515625" defaultRowHeight="12.75"/>
  <cols>
    <col min="1" max="1" width="2.85546875" customWidth="1"/>
    <col min="2" max="2" width="22.42578125" customWidth="1"/>
    <col min="3" max="6" width="11.42578125" customWidth="1"/>
    <col min="7" max="7" width="13" customWidth="1"/>
    <col min="8" max="8" width="12" customWidth="1"/>
    <col min="9" max="9" width="11.7109375" customWidth="1"/>
    <col min="10" max="10" width="10.42578125" customWidth="1"/>
    <col min="11" max="11" width="9.7109375" customWidth="1"/>
    <col min="12" max="13" width="9.85546875" customWidth="1"/>
    <col min="14" max="14" width="20.85546875" customWidth="1"/>
    <col min="15" max="15" width="4" customWidth="1"/>
    <col min="16" max="16" width="18.85546875" customWidth="1"/>
    <col min="17" max="17" width="6.7109375" customWidth="1"/>
    <col min="19" max="19" width="15.85546875" customWidth="1"/>
    <col min="20" max="20" width="10.85546875" customWidth="1"/>
    <col min="22" max="22" width="14.7109375" customWidth="1"/>
    <col min="25" max="27" width="0" hidden="1" customWidth="1"/>
  </cols>
  <sheetData>
    <row r="1" spans="1:27" ht="28.5" customHeight="1">
      <c r="A1" s="615"/>
      <c r="B1" s="616" t="s">
        <v>513</v>
      </c>
      <c r="C1" s="617"/>
      <c r="D1" s="617"/>
      <c r="E1" s="617"/>
      <c r="F1" s="618"/>
      <c r="G1" s="619"/>
      <c r="H1" s="619"/>
      <c r="I1" s="619"/>
      <c r="J1" s="3143" t="s">
        <v>413</v>
      </c>
      <c r="K1" s="3143"/>
      <c r="L1" s="3143" t="s">
        <v>381</v>
      </c>
      <c r="M1" s="3143"/>
      <c r="N1" s="618"/>
      <c r="O1" s="615"/>
      <c r="P1" s="615"/>
      <c r="Q1" s="615"/>
      <c r="R1" s="615"/>
      <c r="S1" s="615"/>
      <c r="T1" s="615"/>
      <c r="U1" s="615"/>
      <c r="V1" s="615"/>
      <c r="W1" s="615"/>
      <c r="X1" s="615"/>
      <c r="Y1" s="615"/>
      <c r="Z1" s="615"/>
      <c r="AA1" s="615"/>
    </row>
    <row r="2" spans="1:27" ht="23.25" customHeight="1">
      <c r="A2" s="615"/>
      <c r="B2" s="620" t="s">
        <v>514</v>
      </c>
      <c r="C2" s="621"/>
      <c r="D2" s="622"/>
      <c r="E2" s="622"/>
      <c r="F2" s="622"/>
      <c r="G2" s="622"/>
      <c r="H2" s="622"/>
      <c r="I2" s="621" t="s">
        <v>93</v>
      </c>
      <c r="J2" s="622"/>
      <c r="K2" s="622"/>
      <c r="L2" s="622"/>
      <c r="M2" s="622"/>
      <c r="N2" s="623" t="s">
        <v>515</v>
      </c>
      <c r="O2" s="624"/>
      <c r="P2" s="615"/>
      <c r="Q2" s="615"/>
      <c r="R2" s="625" t="s">
        <v>516</v>
      </c>
      <c r="S2" s="615"/>
      <c r="T2" s="615"/>
      <c r="U2" s="615"/>
      <c r="V2" s="615" t="s">
        <v>517</v>
      </c>
      <c r="W2" s="615"/>
      <c r="X2" s="615"/>
      <c r="Y2" s="615"/>
      <c r="Z2" s="615"/>
      <c r="AA2" s="615"/>
    </row>
    <row r="3" spans="1:27" ht="27.75" customHeight="1">
      <c r="A3" s="615"/>
      <c r="B3" s="626" t="s">
        <v>518</v>
      </c>
      <c r="C3" s="627" t="s">
        <v>168</v>
      </c>
      <c r="D3" s="627" t="s">
        <v>519</v>
      </c>
      <c r="E3" s="627" t="s">
        <v>520</v>
      </c>
      <c r="F3" s="627" t="s">
        <v>521</v>
      </c>
      <c r="G3" s="628" t="s">
        <v>522</v>
      </c>
      <c r="H3" s="627" t="s">
        <v>523</v>
      </c>
      <c r="I3" s="627" t="s">
        <v>168</v>
      </c>
      <c r="J3" s="627" t="s">
        <v>524</v>
      </c>
      <c r="K3" s="627" t="s">
        <v>525</v>
      </c>
      <c r="L3" s="627" t="s">
        <v>34</v>
      </c>
      <c r="M3" s="627" t="s">
        <v>526</v>
      </c>
      <c r="N3" s="629" t="s">
        <v>527</v>
      </c>
      <c r="O3" s="615"/>
      <c r="P3" s="615"/>
      <c r="Q3" s="615"/>
      <c r="R3" s="625" t="s">
        <v>528</v>
      </c>
      <c r="S3" s="615"/>
      <c r="T3" s="615"/>
      <c r="U3" s="615"/>
      <c r="V3" s="615"/>
      <c r="W3" s="615"/>
      <c r="X3" s="615"/>
      <c r="Y3" s="615"/>
      <c r="Z3" s="615"/>
      <c r="AA3" s="615"/>
    </row>
    <row r="4" spans="1:27" ht="29.25" customHeight="1">
      <c r="A4" s="615"/>
      <c r="B4" s="1691"/>
      <c r="C4" s="1692"/>
      <c r="D4" s="1693"/>
      <c r="E4" s="1693"/>
      <c r="F4" s="1693"/>
      <c r="G4" s="1694"/>
      <c r="H4" s="1695"/>
      <c r="I4" s="635">
        <f>C4</f>
        <v>0</v>
      </c>
      <c r="J4" s="636">
        <f t="shared" ref="J4:L7" si="0">$C4*D4</f>
        <v>0</v>
      </c>
      <c r="K4" s="636">
        <f t="shared" si="0"/>
        <v>0</v>
      </c>
      <c r="L4" s="636">
        <f t="shared" si="0"/>
        <v>0</v>
      </c>
      <c r="M4" s="637">
        <f>IF(D4=0,0,H4/D4)</f>
        <v>0</v>
      </c>
      <c r="N4" s="638" t="str">
        <f>IF(L58&gt;0,P58,IF(L59&gt;0,P59,IF(L60&gt;0,P60,IF(L61&gt;0,P61,IF(L62&gt;0,P62,"")))))</f>
        <v/>
      </c>
      <c r="O4" s="615"/>
      <c r="P4" s="615"/>
      <c r="Q4" s="615"/>
      <c r="R4" s="625" t="s">
        <v>529</v>
      </c>
      <c r="S4" s="615"/>
      <c r="T4" s="615"/>
      <c r="U4" s="615"/>
      <c r="V4" s="615"/>
      <c r="W4" s="615"/>
      <c r="X4" s="615"/>
      <c r="Y4" s="615"/>
      <c r="Z4" s="615"/>
      <c r="AA4" s="615"/>
    </row>
    <row r="5" spans="1:27" ht="29.25" customHeight="1">
      <c r="A5" s="615"/>
      <c r="B5" s="630"/>
      <c r="C5" s="631"/>
      <c r="D5" s="632"/>
      <c r="E5" s="632"/>
      <c r="F5" s="632"/>
      <c r="G5" s="633"/>
      <c r="H5" s="634"/>
      <c r="I5" s="635">
        <f>C5</f>
        <v>0</v>
      </c>
      <c r="J5" s="636">
        <f t="shared" si="0"/>
        <v>0</v>
      </c>
      <c r="K5" s="636">
        <f t="shared" si="0"/>
        <v>0</v>
      </c>
      <c r="L5" s="636">
        <f t="shared" si="0"/>
        <v>0</v>
      </c>
      <c r="M5" s="637">
        <f>IF(D5=0,0,H5/D5)</f>
        <v>0</v>
      </c>
      <c r="N5" s="638" t="str">
        <f>IF(L64&gt;0,P64,IF(L65&gt;0,P65,IF(L66&gt;0,P66,IF(L67&gt;0,P67,IF(L68&gt;0,P68,"")))))</f>
        <v/>
      </c>
      <c r="O5" s="615"/>
      <c r="P5" s="615"/>
      <c r="Q5" s="615"/>
      <c r="R5" s="625" t="s">
        <v>530</v>
      </c>
      <c r="S5" s="615"/>
      <c r="T5" s="615"/>
      <c r="U5" s="615"/>
      <c r="V5" s="615"/>
      <c r="W5" s="615"/>
      <c r="X5" s="615"/>
      <c r="Y5" s="615"/>
      <c r="Z5" s="615"/>
      <c r="AA5" s="615"/>
    </row>
    <row r="6" spans="1:27" ht="23.25" customHeight="1">
      <c r="A6" s="615"/>
      <c r="B6" s="630"/>
      <c r="C6" s="631"/>
      <c r="D6" s="632"/>
      <c r="E6" s="632"/>
      <c r="F6" s="632"/>
      <c r="G6" s="633"/>
      <c r="H6" s="634"/>
      <c r="I6" s="635">
        <f>C6</f>
        <v>0</v>
      </c>
      <c r="J6" s="636">
        <f t="shared" si="0"/>
        <v>0</v>
      </c>
      <c r="K6" s="636">
        <f t="shared" si="0"/>
        <v>0</v>
      </c>
      <c r="L6" s="636">
        <f t="shared" si="0"/>
        <v>0</v>
      </c>
      <c r="M6" s="637">
        <f>IF(D6=0,0,H6/D6)</f>
        <v>0</v>
      </c>
      <c r="N6" s="638" t="str">
        <f>IF(L70&gt;0,P70,IF(L71&gt;0,P71,IF(L72&gt;0,P72,IF(L73&gt;0,P73,IF(L74&gt;0,P74,"")))))</f>
        <v/>
      </c>
      <c r="O6" s="615"/>
      <c r="P6" s="615"/>
      <c r="Q6" s="615"/>
      <c r="R6" s="639" t="s">
        <v>531</v>
      </c>
      <c r="S6" s="615"/>
      <c r="T6" s="615"/>
      <c r="U6" s="615"/>
      <c r="V6" s="615"/>
      <c r="W6" s="615"/>
      <c r="X6" s="615"/>
      <c r="Y6" s="615"/>
      <c r="Z6" s="615"/>
      <c r="AA6" s="615"/>
    </row>
    <row r="7" spans="1:27" ht="23.25" customHeight="1">
      <c r="A7" s="615"/>
      <c r="B7" s="630"/>
      <c r="C7" s="631"/>
      <c r="D7" s="632"/>
      <c r="E7" s="632"/>
      <c r="F7" s="632"/>
      <c r="G7" s="633"/>
      <c r="H7" s="634"/>
      <c r="I7" s="635">
        <f>C7</f>
        <v>0</v>
      </c>
      <c r="J7" s="636">
        <f t="shared" si="0"/>
        <v>0</v>
      </c>
      <c r="K7" s="636">
        <f t="shared" si="0"/>
        <v>0</v>
      </c>
      <c r="L7" s="636">
        <f t="shared" si="0"/>
        <v>0</v>
      </c>
      <c r="M7" s="637">
        <f>IF(D7=0,0,H7/D7)</f>
        <v>0</v>
      </c>
      <c r="N7" s="638" t="str">
        <f>IF(L76&gt;0,P76,IF(L77&gt;0,P77,IF(L78&gt;0,P78,IF(L79&gt;0,P79,IF(L80&gt;0,P80,"")))))</f>
        <v/>
      </c>
      <c r="O7" s="615"/>
      <c r="P7" s="615"/>
      <c r="Q7" s="615"/>
      <c r="R7" s="640" t="s">
        <v>532</v>
      </c>
      <c r="S7" s="640" t="s">
        <v>533</v>
      </c>
      <c r="T7" s="640" t="s">
        <v>534</v>
      </c>
      <c r="U7" s="640" t="s">
        <v>535</v>
      </c>
      <c r="V7" s="640" t="s">
        <v>536</v>
      </c>
      <c r="W7" s="640" t="s">
        <v>537</v>
      </c>
      <c r="X7" s="615"/>
      <c r="Y7" s="615"/>
      <c r="Z7" s="615"/>
      <c r="AA7" s="615"/>
    </row>
    <row r="8" spans="1:27" ht="20.25" customHeight="1">
      <c r="A8" s="615"/>
      <c r="B8" s="620" t="s">
        <v>538</v>
      </c>
      <c r="C8" s="621"/>
      <c r="D8" s="622"/>
      <c r="E8" s="622"/>
      <c r="F8" s="622"/>
      <c r="G8" s="622"/>
      <c r="H8" s="622"/>
      <c r="I8" s="621" t="s">
        <v>93</v>
      </c>
      <c r="J8" s="622"/>
      <c r="K8" s="622"/>
      <c r="L8" s="622"/>
      <c r="M8" s="622"/>
      <c r="N8" s="641"/>
      <c r="O8" s="615"/>
      <c r="P8" s="615"/>
      <c r="Q8" s="615"/>
      <c r="R8" s="642"/>
      <c r="S8" s="643"/>
      <c r="T8" s="644">
        <f>R8*S8/10000</f>
        <v>0</v>
      </c>
      <c r="U8" s="645">
        <f>S8/100*R8*10</f>
        <v>0</v>
      </c>
      <c r="V8" s="642"/>
      <c r="W8" s="645">
        <f>U8*V8</f>
        <v>0</v>
      </c>
      <c r="X8" s="615"/>
      <c r="Y8" s="615"/>
      <c r="Z8" s="615"/>
      <c r="AA8" s="615"/>
    </row>
    <row r="9" spans="1:27" ht="22.5" customHeight="1">
      <c r="A9" s="615"/>
      <c r="B9" s="631"/>
      <c r="C9" s="631"/>
      <c r="D9" s="632"/>
      <c r="E9" s="632"/>
      <c r="F9" s="632"/>
      <c r="G9" s="633"/>
      <c r="H9" s="634"/>
      <c r="I9" s="635">
        <f>C9</f>
        <v>0</v>
      </c>
      <c r="J9" s="636">
        <f t="shared" ref="J9:L11" si="1">$C9*D9</f>
        <v>0</v>
      </c>
      <c r="K9" s="636">
        <f t="shared" si="1"/>
        <v>0</v>
      </c>
      <c r="L9" s="636">
        <f t="shared" si="1"/>
        <v>0</v>
      </c>
      <c r="M9" s="637">
        <f>IF(D9=0,0,H9/D9)</f>
        <v>0</v>
      </c>
      <c r="N9" s="638" t="str">
        <f>IF(L82&gt;0,P82,IF(L83&gt;0,P83,IF(L84&gt;0,P84,"")))</f>
        <v/>
      </c>
      <c r="O9" s="615"/>
      <c r="P9" s="615"/>
      <c r="Q9" s="615"/>
      <c r="R9" s="646" t="s">
        <v>539</v>
      </c>
      <c r="S9" s="647"/>
      <c r="T9" s="647"/>
      <c r="U9" s="647"/>
      <c r="V9" s="647"/>
      <c r="W9" s="647"/>
      <c r="X9" s="615"/>
      <c r="Y9" s="615"/>
      <c r="Z9" s="615"/>
      <c r="AA9" s="615"/>
    </row>
    <row r="10" spans="1:27" ht="22.5" customHeight="1">
      <c r="A10" s="615"/>
      <c r="B10" s="630"/>
      <c r="C10" s="631"/>
      <c r="D10" s="632"/>
      <c r="E10" s="632"/>
      <c r="F10" s="632"/>
      <c r="G10" s="633"/>
      <c r="H10" s="634"/>
      <c r="I10" s="635">
        <f>C10</f>
        <v>0</v>
      </c>
      <c r="J10" s="636">
        <f t="shared" si="1"/>
        <v>0</v>
      </c>
      <c r="K10" s="636">
        <f t="shared" si="1"/>
        <v>0</v>
      </c>
      <c r="L10" s="636">
        <f t="shared" si="1"/>
        <v>0</v>
      </c>
      <c r="M10" s="637">
        <f>IF(D10=0,0,H10/D10)</f>
        <v>0</v>
      </c>
      <c r="N10" s="638" t="str">
        <f>IF(L86&gt;0,P86,IF(L87&gt;0,P87,IF(L88&gt;0,P88,"")))</f>
        <v/>
      </c>
      <c r="O10" s="615"/>
      <c r="P10" s="615"/>
      <c r="Q10" s="615"/>
      <c r="R10" s="640" t="s">
        <v>532</v>
      </c>
      <c r="S10" s="640" t="s">
        <v>533</v>
      </c>
      <c r="T10" s="640" t="s">
        <v>534</v>
      </c>
      <c r="U10" s="640" t="s">
        <v>535</v>
      </c>
      <c r="V10" s="640" t="s">
        <v>540</v>
      </c>
      <c r="W10" s="640" t="s">
        <v>537</v>
      </c>
      <c r="X10" s="615"/>
      <c r="Y10" s="615"/>
      <c r="Z10" s="615"/>
      <c r="AA10" s="615"/>
    </row>
    <row r="11" spans="1:27" ht="22.5" customHeight="1">
      <c r="A11" s="615"/>
      <c r="B11" s="630"/>
      <c r="C11" s="631"/>
      <c r="D11" s="632"/>
      <c r="E11" s="632"/>
      <c r="F11" s="632"/>
      <c r="G11" s="633"/>
      <c r="H11" s="634"/>
      <c r="I11" s="635">
        <f>C11</f>
        <v>0</v>
      </c>
      <c r="J11" s="636">
        <f t="shared" si="1"/>
        <v>0</v>
      </c>
      <c r="K11" s="636">
        <f t="shared" si="1"/>
        <v>0</v>
      </c>
      <c r="L11" s="636">
        <f t="shared" si="1"/>
        <v>0</v>
      </c>
      <c r="M11" s="637">
        <f>IF(D11=0,0,H11/D11)</f>
        <v>0</v>
      </c>
      <c r="N11" s="638" t="str">
        <f>IF(L90&gt;0,P90,IF(L91&gt;0,P91,IF(L92&gt;0,P92,"")))</f>
        <v/>
      </c>
      <c r="O11" s="615"/>
      <c r="P11" s="615"/>
      <c r="Q11" s="615"/>
      <c r="R11" s="648"/>
      <c r="S11" s="649"/>
      <c r="T11" s="644">
        <f>R11*S11</f>
        <v>0</v>
      </c>
      <c r="U11" s="645">
        <f>S11*R11*1000</f>
        <v>0</v>
      </c>
      <c r="V11" s="642"/>
      <c r="W11" s="645">
        <f>U11*V11</f>
        <v>0</v>
      </c>
      <c r="X11" s="615"/>
      <c r="Y11" s="615"/>
      <c r="Z11" s="615"/>
      <c r="AA11" s="615"/>
    </row>
    <row r="12" spans="1:27" ht="20.25" customHeight="1">
      <c r="A12" s="615"/>
      <c r="B12" s="620" t="s">
        <v>541</v>
      </c>
      <c r="C12" s="620"/>
      <c r="D12" s="620" t="s">
        <v>542</v>
      </c>
      <c r="E12" s="620"/>
      <c r="F12" s="620"/>
      <c r="G12" s="620"/>
      <c r="H12" s="621"/>
      <c r="I12" s="621" t="s">
        <v>93</v>
      </c>
      <c r="J12" s="622"/>
      <c r="K12" s="622"/>
      <c r="L12" s="622"/>
      <c r="M12" s="622"/>
      <c r="N12" s="650"/>
      <c r="O12" s="615"/>
      <c r="P12" s="615"/>
      <c r="Q12" s="615"/>
      <c r="R12" s="646" t="s">
        <v>543</v>
      </c>
      <c r="S12" s="647"/>
      <c r="T12" s="647"/>
      <c r="U12" s="647"/>
      <c r="V12" s="647"/>
      <c r="W12" s="647"/>
      <c r="X12" s="615"/>
      <c r="Y12" s="615"/>
      <c r="Z12" s="615"/>
      <c r="AA12" s="615"/>
    </row>
    <row r="13" spans="1:27" ht="24.75" customHeight="1">
      <c r="A13" s="615"/>
      <c r="B13" s="631"/>
      <c r="C13" s="631"/>
      <c r="D13" s="632"/>
      <c r="E13" s="632"/>
      <c r="F13" s="632"/>
      <c r="G13" s="633"/>
      <c r="H13" s="634"/>
      <c r="I13" s="635">
        <f>C13</f>
        <v>0</v>
      </c>
      <c r="J13" s="636">
        <f t="shared" ref="J13:L15" si="2">$C13*D13</f>
        <v>0</v>
      </c>
      <c r="K13" s="636">
        <f t="shared" si="2"/>
        <v>0</v>
      </c>
      <c r="L13" s="636">
        <f t="shared" si="2"/>
        <v>0</v>
      </c>
      <c r="M13" s="637">
        <f>IF(D13=0,0,H13/D13)</f>
        <v>0</v>
      </c>
      <c r="N13" s="638" t="str">
        <f>IF(L94&gt;0,P94,IF(L95&gt;0,P95,IF(L96&gt;0,P96,IF(L97&gt;0,P97,IF(L98&gt;0,P98,IF(L99&gt;0,P99,IF(L100&gt;0,P100,IF(L101&gt;0,P101,""))))))))</f>
        <v/>
      </c>
      <c r="O13" s="615"/>
      <c r="P13" s="615"/>
      <c r="Q13" s="615"/>
      <c r="R13" s="651"/>
      <c r="S13" s="3144" t="s">
        <v>544</v>
      </c>
      <c r="T13" s="3144"/>
      <c r="U13" s="652" t="s">
        <v>535</v>
      </c>
      <c r="V13" s="640" t="s">
        <v>540</v>
      </c>
      <c r="W13" s="640" t="s">
        <v>537</v>
      </c>
      <c r="X13" s="615"/>
      <c r="Y13" s="615"/>
      <c r="Z13" s="615"/>
      <c r="AA13" s="615"/>
    </row>
    <row r="14" spans="1:27" ht="23.25" customHeight="1">
      <c r="A14" s="615"/>
      <c r="B14" s="631"/>
      <c r="C14" s="631"/>
      <c r="D14" s="632"/>
      <c r="E14" s="632"/>
      <c r="F14" s="632"/>
      <c r="G14" s="633"/>
      <c r="H14" s="634"/>
      <c r="I14" s="635">
        <f>C14</f>
        <v>0</v>
      </c>
      <c r="J14" s="636">
        <f t="shared" si="2"/>
        <v>0</v>
      </c>
      <c r="K14" s="636">
        <f t="shared" si="2"/>
        <v>0</v>
      </c>
      <c r="L14" s="636">
        <f t="shared" si="2"/>
        <v>0</v>
      </c>
      <c r="M14" s="637">
        <f>IF(D14=0,0,H14/D14)</f>
        <v>0</v>
      </c>
      <c r="N14" s="638" t="str">
        <f>IF(L103&gt;0,P103,IF(L104&gt;0,P104,IF(L105&gt;0,P105,IF(L106&gt;0,P106,IF(L107&gt;0,P107,IF(L108&gt;0,P108,IF(L109&gt;0,P109,IF(L110&gt;0,P110,""))))))))</f>
        <v/>
      </c>
      <c r="O14" s="615"/>
      <c r="P14" s="615"/>
      <c r="Q14" s="615"/>
      <c r="R14" s="651" t="s">
        <v>545</v>
      </c>
      <c r="S14" s="3145"/>
      <c r="T14" s="3145"/>
      <c r="U14" s="402">
        <f>S14*1000</f>
        <v>0</v>
      </c>
      <c r="V14" s="642"/>
      <c r="W14" s="402">
        <f>U14*V14</f>
        <v>0</v>
      </c>
      <c r="X14" s="615"/>
      <c r="Y14" s="615"/>
      <c r="Z14" s="615"/>
      <c r="AA14" s="615"/>
    </row>
    <row r="15" spans="1:27" ht="15.75">
      <c r="A15" s="615"/>
      <c r="B15" s="630"/>
      <c r="C15" s="631"/>
      <c r="D15" s="632"/>
      <c r="E15" s="632"/>
      <c r="F15" s="632"/>
      <c r="G15" s="633"/>
      <c r="H15" s="634"/>
      <c r="I15" s="635">
        <f>C15</f>
        <v>0</v>
      </c>
      <c r="J15" s="636">
        <f t="shared" si="2"/>
        <v>0</v>
      </c>
      <c r="K15" s="636">
        <f t="shared" si="2"/>
        <v>0</v>
      </c>
      <c r="L15" s="636">
        <f t="shared" si="2"/>
        <v>0</v>
      </c>
      <c r="M15" s="637">
        <f>IF(D15=0,0,H15/D15)</f>
        <v>0</v>
      </c>
      <c r="N15" s="638" t="str">
        <f>IF(L112&gt;0,P112,IF(L113&gt;0,P113,IF(L114&gt;0,P114,IF(L115&gt;0,P115,IF(L116&gt;0,P116,IF(L117&gt;0,P117,IF(L118&gt;0,P118,IF(L119&gt;0,P119,""))))))))</f>
        <v/>
      </c>
      <c r="O15" s="615"/>
      <c r="P15" s="615"/>
      <c r="Q15" s="615"/>
      <c r="R15" s="651" t="s">
        <v>546</v>
      </c>
      <c r="S15" s="3146"/>
      <c r="T15" s="3146"/>
      <c r="U15" s="645">
        <f>S15</f>
        <v>0</v>
      </c>
      <c r="V15" s="642"/>
      <c r="W15" s="402">
        <f>U15*V15</f>
        <v>0</v>
      </c>
      <c r="X15" s="615"/>
      <c r="Y15" s="615"/>
      <c r="Z15" s="615"/>
      <c r="AA15" s="615"/>
    </row>
    <row r="16" spans="1:27" ht="20.25" customHeight="1">
      <c r="A16" s="615"/>
      <c r="B16" s="653" t="s">
        <v>547</v>
      </c>
      <c r="C16" s="654"/>
      <c r="D16" s="655"/>
      <c r="E16" s="655"/>
      <c r="F16" s="655"/>
      <c r="G16" s="655"/>
      <c r="H16" s="655"/>
      <c r="I16" s="621" t="s">
        <v>93</v>
      </c>
      <c r="J16" s="622"/>
      <c r="K16" s="622"/>
      <c r="L16" s="622"/>
      <c r="M16" s="622"/>
      <c r="N16" s="656"/>
      <c r="O16" s="615"/>
      <c r="P16" s="615"/>
      <c r="Q16" s="615"/>
      <c r="R16" s="639" t="s">
        <v>548</v>
      </c>
      <c r="S16" s="615"/>
      <c r="T16" s="615"/>
      <c r="U16" s="615"/>
      <c r="V16" s="615"/>
      <c r="W16" s="615"/>
      <c r="X16" s="615"/>
      <c r="Y16" s="615"/>
      <c r="Z16" s="615"/>
      <c r="AA16" s="615"/>
    </row>
    <row r="17" spans="1:27" ht="34.5" customHeight="1">
      <c r="A17" s="615"/>
      <c r="B17" s="657" t="s">
        <v>549</v>
      </c>
      <c r="C17" s="627" t="s">
        <v>550</v>
      </c>
      <c r="D17" s="658" t="s">
        <v>551</v>
      </c>
      <c r="E17" s="658" t="s">
        <v>552</v>
      </c>
      <c r="F17" s="658" t="s">
        <v>553</v>
      </c>
      <c r="G17" s="3141" t="s">
        <v>554</v>
      </c>
      <c r="H17" s="3141"/>
      <c r="I17" s="627" t="s">
        <v>168</v>
      </c>
      <c r="J17" s="627" t="s">
        <v>524</v>
      </c>
      <c r="K17" s="627" t="s">
        <v>525</v>
      </c>
      <c r="L17" s="627" t="s">
        <v>34</v>
      </c>
      <c r="M17" s="3142" t="s">
        <v>527</v>
      </c>
      <c r="N17" s="3142"/>
      <c r="O17" s="615"/>
      <c r="P17" s="615"/>
      <c r="Q17" s="615"/>
      <c r="R17" s="659"/>
      <c r="S17" s="660"/>
      <c r="T17" s="660"/>
      <c r="U17" s="661"/>
      <c r="V17" s="662" t="s">
        <v>555</v>
      </c>
      <c r="W17" s="662" t="s">
        <v>556</v>
      </c>
      <c r="X17" s="615"/>
      <c r="Y17" s="615"/>
      <c r="Z17" s="615"/>
      <c r="AA17" s="615"/>
    </row>
    <row r="18" spans="1:27" ht="34.5" customHeight="1">
      <c r="A18" s="615"/>
      <c r="B18" s="630"/>
      <c r="C18" s="631"/>
      <c r="D18" s="632"/>
      <c r="E18" s="632"/>
      <c r="F18" s="632"/>
      <c r="G18" s="3148" t="s">
        <v>557</v>
      </c>
      <c r="H18" s="3148"/>
      <c r="I18" s="635">
        <f>C18</f>
        <v>0</v>
      </c>
      <c r="J18" s="636">
        <f t="shared" ref="J18:L21" si="3">$C18*D18</f>
        <v>0</v>
      </c>
      <c r="K18" s="636">
        <f t="shared" si="3"/>
        <v>0</v>
      </c>
      <c r="L18" s="636">
        <f t="shared" si="3"/>
        <v>0</v>
      </c>
      <c r="M18" s="3142" t="s">
        <v>558</v>
      </c>
      <c r="N18" s="3142"/>
      <c r="O18" s="615"/>
      <c r="P18" s="615"/>
      <c r="Q18" s="615"/>
      <c r="R18" s="663" t="s">
        <v>559</v>
      </c>
      <c r="S18" s="664"/>
      <c r="T18" s="664"/>
      <c r="U18" s="665"/>
      <c r="V18" s="666">
        <v>1</v>
      </c>
      <c r="W18" s="666">
        <v>1</v>
      </c>
      <c r="X18" s="615"/>
      <c r="Y18" s="615"/>
      <c r="Z18" s="615"/>
      <c r="AA18" s="615"/>
    </row>
    <row r="19" spans="1:27" ht="34.5" customHeight="1">
      <c r="A19" s="615"/>
      <c r="B19" s="630"/>
      <c r="C19" s="631"/>
      <c r="D19" s="632"/>
      <c r="E19" s="632"/>
      <c r="F19" s="632"/>
      <c r="G19" s="3149" t="s">
        <v>560</v>
      </c>
      <c r="H19" s="3149"/>
      <c r="I19" s="635">
        <f>C19</f>
        <v>0</v>
      </c>
      <c r="J19" s="636">
        <f t="shared" si="3"/>
        <v>0</v>
      </c>
      <c r="K19" s="636">
        <f t="shared" si="3"/>
        <v>0</v>
      </c>
      <c r="L19" s="636">
        <f t="shared" si="3"/>
        <v>0</v>
      </c>
      <c r="M19" s="3142" t="s">
        <v>561</v>
      </c>
      <c r="N19" s="3142"/>
      <c r="O19" s="615"/>
      <c r="P19" s="615"/>
      <c r="Q19" s="615"/>
      <c r="R19" s="663" t="s">
        <v>562</v>
      </c>
      <c r="S19" s="664"/>
      <c r="T19" s="664"/>
      <c r="U19" s="665"/>
      <c r="V19" s="666">
        <v>0.5</v>
      </c>
      <c r="W19" s="666">
        <v>2</v>
      </c>
      <c r="X19" s="615"/>
      <c r="Y19" s="615"/>
      <c r="Z19" s="615"/>
      <c r="AA19" s="615"/>
    </row>
    <row r="20" spans="1:27" ht="34.5" customHeight="1">
      <c r="A20" s="615"/>
      <c r="B20" s="630"/>
      <c r="C20" s="631"/>
      <c r="D20" s="632"/>
      <c r="E20" s="632"/>
      <c r="F20" s="632"/>
      <c r="G20" s="3149"/>
      <c r="H20" s="3149"/>
      <c r="I20" s="635">
        <f>C20</f>
        <v>0</v>
      </c>
      <c r="J20" s="636">
        <f t="shared" si="3"/>
        <v>0</v>
      </c>
      <c r="K20" s="636">
        <f t="shared" si="3"/>
        <v>0</v>
      </c>
      <c r="L20" s="636">
        <f t="shared" si="3"/>
        <v>0</v>
      </c>
      <c r="M20" s="3142"/>
      <c r="N20" s="3142"/>
      <c r="O20" s="615"/>
      <c r="P20" s="615"/>
      <c r="Q20" s="615"/>
      <c r="R20" s="663" t="s">
        <v>563</v>
      </c>
      <c r="S20" s="664"/>
      <c r="T20" s="664"/>
      <c r="U20" s="665"/>
      <c r="V20" s="666">
        <v>0.83</v>
      </c>
      <c r="W20" s="666">
        <v>1.2</v>
      </c>
      <c r="X20" s="615"/>
      <c r="Y20" s="615"/>
      <c r="Z20" s="615"/>
      <c r="AA20" s="615"/>
    </row>
    <row r="21" spans="1:27" ht="33" customHeight="1">
      <c r="A21" s="615"/>
      <c r="B21" s="630"/>
      <c r="C21" s="631"/>
      <c r="D21" s="632"/>
      <c r="E21" s="632"/>
      <c r="F21" s="632"/>
      <c r="G21" s="3150" t="s">
        <v>564</v>
      </c>
      <c r="H21" s="3150"/>
      <c r="I21" s="635">
        <f>C21</f>
        <v>0</v>
      </c>
      <c r="J21" s="636">
        <f t="shared" si="3"/>
        <v>0</v>
      </c>
      <c r="K21" s="636">
        <f t="shared" si="3"/>
        <v>0</v>
      </c>
      <c r="L21" s="636">
        <f t="shared" si="3"/>
        <v>0</v>
      </c>
      <c r="M21" s="3142" t="s">
        <v>565</v>
      </c>
      <c r="N21" s="3142"/>
      <c r="O21" s="615"/>
      <c r="P21" s="615"/>
      <c r="Q21" s="615"/>
      <c r="R21" s="663" t="s">
        <v>566</v>
      </c>
      <c r="S21" s="664"/>
      <c r="T21" s="664"/>
      <c r="U21" s="665"/>
      <c r="V21" s="666">
        <v>0.91</v>
      </c>
      <c r="W21" s="666">
        <v>1.1000000000000001</v>
      </c>
      <c r="X21" s="615"/>
      <c r="Y21" s="615"/>
      <c r="Z21" s="615"/>
      <c r="AA21" s="615"/>
    </row>
    <row r="22" spans="1:27" ht="20.25" customHeight="1">
      <c r="A22" s="615"/>
      <c r="B22" s="615"/>
      <c r="C22" s="615"/>
      <c r="D22" s="615"/>
      <c r="E22" s="615"/>
      <c r="F22" s="615"/>
      <c r="G22" s="615"/>
      <c r="H22" s="615"/>
      <c r="I22" s="615"/>
      <c r="J22" s="667">
        <f>SUM(J4:J21)</f>
        <v>0</v>
      </c>
      <c r="K22" s="667">
        <f>SUM(K4:K21)</f>
        <v>0</v>
      </c>
      <c r="L22" s="667">
        <f>SUM(L4:L21)</f>
        <v>0</v>
      </c>
      <c r="M22" s="615"/>
      <c r="N22" s="615"/>
      <c r="O22" s="615"/>
      <c r="P22" s="615"/>
      <c r="Q22" s="615"/>
      <c r="R22" s="663" t="s">
        <v>567</v>
      </c>
      <c r="S22" s="664"/>
      <c r="T22" s="664"/>
      <c r="U22" s="665"/>
      <c r="V22" s="666">
        <v>0.5</v>
      </c>
      <c r="W22" s="666">
        <v>2</v>
      </c>
      <c r="X22" s="615"/>
      <c r="Y22" s="615"/>
      <c r="Z22" s="615"/>
      <c r="AA22" s="615"/>
    </row>
    <row r="23" spans="1:27" ht="17.25" customHeight="1">
      <c r="A23" s="615"/>
      <c r="B23" s="615"/>
      <c r="C23" s="615"/>
      <c r="D23" s="615"/>
      <c r="E23" s="615"/>
      <c r="F23" s="615"/>
      <c r="G23" s="615"/>
      <c r="H23" s="615"/>
      <c r="I23" s="615"/>
      <c r="J23" s="615"/>
      <c r="K23" s="615"/>
      <c r="L23" s="615"/>
      <c r="M23" s="615"/>
      <c r="N23" s="615"/>
      <c r="O23" s="615"/>
      <c r="P23" s="615"/>
      <c r="Q23" s="615"/>
      <c r="R23" s="663" t="s">
        <v>568</v>
      </c>
      <c r="S23" s="664"/>
      <c r="T23" s="664"/>
      <c r="U23" s="665"/>
      <c r="V23" s="666">
        <v>0.5</v>
      </c>
      <c r="W23" s="666">
        <v>2</v>
      </c>
      <c r="X23" s="615"/>
      <c r="Y23" s="615"/>
      <c r="Z23" s="615"/>
      <c r="AA23" s="615"/>
    </row>
    <row r="24" spans="1:27" ht="35.25" customHeight="1">
      <c r="A24" s="615"/>
      <c r="B24" s="3151" t="s">
        <v>160</v>
      </c>
      <c r="C24" s="627" t="s">
        <v>162</v>
      </c>
      <c r="D24" s="628" t="s">
        <v>163</v>
      </c>
      <c r="E24" s="627" t="s">
        <v>164</v>
      </c>
      <c r="F24" s="627" t="s">
        <v>22</v>
      </c>
      <c r="G24" s="627" t="s">
        <v>23</v>
      </c>
      <c r="H24" s="627" t="s">
        <v>166</v>
      </c>
      <c r="I24" s="627" t="s">
        <v>167</v>
      </c>
      <c r="J24" s="627" t="s">
        <v>93</v>
      </c>
      <c r="K24" s="615"/>
      <c r="L24" s="615"/>
      <c r="M24" s="615"/>
      <c r="N24" s="615"/>
      <c r="O24" s="615"/>
      <c r="P24" s="615"/>
      <c r="Q24" s="615"/>
      <c r="R24" s="663" t="s">
        <v>569</v>
      </c>
      <c r="S24" s="664"/>
      <c r="T24" s="664"/>
      <c r="U24" s="665"/>
      <c r="V24" s="666">
        <v>0.7</v>
      </c>
      <c r="W24" s="666">
        <v>1.4</v>
      </c>
      <c r="X24" s="615"/>
      <c r="Y24" s="615"/>
      <c r="Z24" s="615"/>
      <c r="AA24" s="615"/>
    </row>
    <row r="25" spans="1:27" ht="18" customHeight="1">
      <c r="A25" s="615"/>
      <c r="B25" s="3151"/>
      <c r="C25" s="668">
        <f>M59+M65+M71+M77+M82+M83+M86+M87+M90+M91+M98+M107+M116+J18</f>
        <v>0</v>
      </c>
      <c r="D25" s="668">
        <f>M58+M61+M64+M67+M70+M73+M76+M79+M94+M100+M103+M109+M112+M118</f>
        <v>0</v>
      </c>
      <c r="E25" s="668">
        <f>M60+M66+M72+M78+M99+M108+M117</f>
        <v>0</v>
      </c>
      <c r="F25" s="668">
        <f>M62+M68+M74+M80+M101+M110+M119</f>
        <v>0</v>
      </c>
      <c r="G25" s="668">
        <f>M84+M88+M92+M97+M106+M115+J19+J20</f>
        <v>0</v>
      </c>
      <c r="H25" s="668">
        <f>M96+M105+M114</f>
        <v>0</v>
      </c>
      <c r="I25" s="668">
        <f>M95+M104+M113+J21</f>
        <v>0</v>
      </c>
      <c r="J25" s="668">
        <f>SUM(C25:I25)</f>
        <v>0</v>
      </c>
      <c r="K25" s="615"/>
      <c r="L25" s="615"/>
      <c r="M25" s="615"/>
      <c r="N25" s="615"/>
      <c r="O25" s="615"/>
      <c r="P25" s="615"/>
      <c r="Q25" s="615"/>
      <c r="R25" s="663" t="s">
        <v>570</v>
      </c>
      <c r="S25" s="664"/>
      <c r="T25" s="664"/>
      <c r="U25" s="665"/>
      <c r="V25" s="666">
        <v>0.8</v>
      </c>
      <c r="W25" s="666">
        <v>1.2</v>
      </c>
      <c r="X25" s="615"/>
      <c r="Y25" s="615"/>
      <c r="Z25" s="615"/>
      <c r="AA25" s="615"/>
    </row>
    <row r="26" spans="1:27" ht="18" customHeight="1">
      <c r="A26" s="615"/>
      <c r="B26" s="658" t="s">
        <v>175</v>
      </c>
      <c r="C26" s="635">
        <f t="shared" ref="C26:I26" si="4">C126</f>
        <v>0</v>
      </c>
      <c r="D26" s="635">
        <f t="shared" si="4"/>
        <v>0</v>
      </c>
      <c r="E26" s="635">
        <f t="shared" si="4"/>
        <v>0</v>
      </c>
      <c r="F26" s="635">
        <f t="shared" si="4"/>
        <v>0</v>
      </c>
      <c r="G26" s="635">
        <f t="shared" si="4"/>
        <v>0</v>
      </c>
      <c r="H26" s="635">
        <f t="shared" si="4"/>
        <v>0</v>
      </c>
      <c r="I26" s="635">
        <f t="shared" si="4"/>
        <v>0</v>
      </c>
      <c r="J26" s="635">
        <f>SUM(C26:I26)</f>
        <v>0</v>
      </c>
      <c r="K26" s="615"/>
      <c r="L26" s="615"/>
      <c r="M26" s="615"/>
      <c r="N26" s="615"/>
      <c r="O26" s="615"/>
      <c r="P26" s="615"/>
      <c r="Q26" s="615"/>
      <c r="R26" s="663" t="s">
        <v>571</v>
      </c>
      <c r="S26" s="664"/>
      <c r="T26" s="664"/>
      <c r="U26" s="665"/>
      <c r="V26" s="666">
        <v>0.7</v>
      </c>
      <c r="W26" s="666">
        <v>1.4</v>
      </c>
      <c r="X26" s="615"/>
      <c r="Y26" s="615"/>
      <c r="Z26" s="615"/>
      <c r="AA26" s="615"/>
    </row>
    <row r="27" spans="1:27" ht="18" customHeight="1">
      <c r="A27" s="615"/>
      <c r="B27" s="658" t="s">
        <v>185</v>
      </c>
      <c r="C27" s="635">
        <f t="shared" ref="C27:I27" si="5">C25-C26</f>
        <v>0</v>
      </c>
      <c r="D27" s="635">
        <f t="shared" si="5"/>
        <v>0</v>
      </c>
      <c r="E27" s="635">
        <f t="shared" si="5"/>
        <v>0</v>
      </c>
      <c r="F27" s="635">
        <f t="shared" si="5"/>
        <v>0</v>
      </c>
      <c r="G27" s="635">
        <f t="shared" si="5"/>
        <v>0</v>
      </c>
      <c r="H27" s="635">
        <f t="shared" si="5"/>
        <v>0</v>
      </c>
      <c r="I27" s="635">
        <f t="shared" si="5"/>
        <v>0</v>
      </c>
      <c r="J27" s="635">
        <f>SUM(C27:I27)</f>
        <v>0</v>
      </c>
      <c r="K27" s="615"/>
      <c r="L27" s="615"/>
      <c r="M27" s="615"/>
      <c r="N27" s="615"/>
      <c r="O27" s="615"/>
      <c r="P27" s="615"/>
      <c r="Q27" s="615"/>
      <c r="R27" s="615" t="s">
        <v>572</v>
      </c>
      <c r="S27" s="615"/>
      <c r="T27" s="615"/>
      <c r="U27" s="615"/>
      <c r="V27" s="615"/>
      <c r="W27" s="615"/>
      <c r="X27" s="615"/>
      <c r="Y27" s="615"/>
      <c r="Z27" s="615"/>
      <c r="AA27" s="615"/>
    </row>
    <row r="28" spans="1:27">
      <c r="A28" s="615"/>
      <c r="B28" s="615"/>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row>
    <row r="29" spans="1:27" ht="30" customHeight="1">
      <c r="A29" s="615"/>
      <c r="B29" s="669" t="s">
        <v>573</v>
      </c>
      <c r="C29" s="670"/>
      <c r="D29" s="671"/>
      <c r="E29" s="3152" t="s">
        <v>574</v>
      </c>
      <c r="F29" s="3152"/>
      <c r="G29" s="3152" t="s">
        <v>575</v>
      </c>
      <c r="H29" s="3152"/>
      <c r="I29" s="3152" t="s">
        <v>576</v>
      </c>
      <c r="J29" s="3152"/>
      <c r="K29" s="3152" t="s">
        <v>577</v>
      </c>
      <c r="L29" s="3152"/>
      <c r="M29" s="3147" t="s">
        <v>578</v>
      </c>
      <c r="N29" s="3147"/>
      <c r="O29" s="615"/>
      <c r="P29" s="672" t="s">
        <v>579</v>
      </c>
      <c r="Q29" s="673"/>
      <c r="R29" s="672" t="s">
        <v>580</v>
      </c>
      <c r="S29" s="672" t="s">
        <v>581</v>
      </c>
      <c r="T29" s="674" t="s">
        <v>582</v>
      </c>
      <c r="U29" s="615"/>
      <c r="V29" s="615"/>
      <c r="W29" s="615"/>
      <c r="X29" s="615"/>
      <c r="Y29" s="615"/>
      <c r="Z29" s="615"/>
      <c r="AA29" s="615"/>
    </row>
    <row r="30" spans="1:27" ht="15.75" customHeight="1">
      <c r="A30" s="615"/>
      <c r="B30" s="675" t="s">
        <v>583</v>
      </c>
      <c r="C30" s="670"/>
      <c r="D30" s="671"/>
      <c r="E30" s="676">
        <v>0.87</v>
      </c>
      <c r="F30" s="677"/>
      <c r="G30" s="676">
        <v>0.5</v>
      </c>
      <c r="H30" s="677"/>
      <c r="I30" s="676">
        <v>0.7</v>
      </c>
      <c r="J30" s="677"/>
      <c r="K30" s="676">
        <v>0.75</v>
      </c>
      <c r="L30" s="677"/>
      <c r="M30" s="3152" t="s">
        <v>584</v>
      </c>
      <c r="N30" s="3152"/>
      <c r="O30" s="615"/>
      <c r="P30" s="673"/>
      <c r="Q30" s="673"/>
      <c r="R30" s="673"/>
      <c r="S30" s="673"/>
      <c r="T30" s="678"/>
      <c r="U30" s="615"/>
      <c r="V30" s="615"/>
      <c r="W30" s="615"/>
      <c r="X30" s="615"/>
      <c r="Y30" s="615"/>
      <c r="Z30" s="615"/>
      <c r="AA30" s="615"/>
    </row>
    <row r="31" spans="1:27" ht="15.75" customHeight="1">
      <c r="A31" s="615"/>
      <c r="B31" s="679" t="s">
        <v>585</v>
      </c>
      <c r="C31" s="670"/>
      <c r="D31" s="671"/>
      <c r="E31" s="676">
        <v>0.87</v>
      </c>
      <c r="F31" s="677"/>
      <c r="G31" s="676">
        <v>0.60000000000000009</v>
      </c>
      <c r="H31" s="677"/>
      <c r="I31" s="676">
        <v>0.85</v>
      </c>
      <c r="J31" s="677"/>
      <c r="K31" s="676">
        <v>0.9</v>
      </c>
      <c r="L31" s="677"/>
      <c r="M31" s="3152" t="s">
        <v>586</v>
      </c>
      <c r="N31" s="3152"/>
      <c r="O31" s="615"/>
      <c r="P31" s="673"/>
      <c r="Q31" s="673"/>
      <c r="R31" s="673"/>
      <c r="S31" s="673"/>
      <c r="T31" s="678"/>
      <c r="U31" s="615"/>
      <c r="V31" s="615"/>
      <c r="W31" s="615"/>
      <c r="X31" s="615"/>
      <c r="Y31" s="615"/>
      <c r="Z31" s="615"/>
      <c r="AA31" s="615"/>
    </row>
    <row r="32" spans="1:27" ht="15.75" customHeight="1">
      <c r="A32" s="615"/>
      <c r="B32" s="679" t="s">
        <v>587</v>
      </c>
      <c r="C32" s="670"/>
      <c r="D32" s="671"/>
      <c r="E32" s="676">
        <v>0.87</v>
      </c>
      <c r="F32" s="677"/>
      <c r="G32" s="676">
        <v>0.65</v>
      </c>
      <c r="H32" s="677"/>
      <c r="I32" s="676">
        <v>0.8</v>
      </c>
      <c r="J32" s="677"/>
      <c r="K32" s="676">
        <v>0.85</v>
      </c>
      <c r="L32" s="677"/>
      <c r="M32" s="3152" t="s">
        <v>588</v>
      </c>
      <c r="N32" s="3152"/>
      <c r="O32" s="615"/>
      <c r="P32" s="673"/>
      <c r="Q32" s="673"/>
      <c r="R32" s="673"/>
      <c r="S32" s="673"/>
      <c r="T32" s="678"/>
      <c r="U32" s="615"/>
      <c r="V32" s="615"/>
      <c r="W32" s="615"/>
      <c r="X32" s="615"/>
      <c r="Y32" s="615"/>
      <c r="Z32" s="615"/>
      <c r="AA32" s="615"/>
    </row>
    <row r="33" spans="1:27" ht="15.75" customHeight="1">
      <c r="A33" s="615"/>
      <c r="B33" s="675" t="s">
        <v>589</v>
      </c>
      <c r="C33" s="670"/>
      <c r="D33" s="671"/>
      <c r="E33" s="676">
        <v>0.87</v>
      </c>
      <c r="F33" s="677"/>
      <c r="G33" s="676">
        <v>0.9</v>
      </c>
      <c r="H33" s="677"/>
      <c r="I33" s="676">
        <v>1</v>
      </c>
      <c r="J33" s="677"/>
      <c r="K33" s="676">
        <v>1</v>
      </c>
      <c r="L33" s="677"/>
      <c r="M33" s="3152" t="s">
        <v>590</v>
      </c>
      <c r="N33" s="3152"/>
      <c r="O33" s="615"/>
      <c r="P33" s="673"/>
      <c r="Q33" s="673"/>
      <c r="R33" s="673"/>
      <c r="S33" s="673"/>
      <c r="T33" s="678"/>
      <c r="U33" s="615"/>
      <c r="V33" s="615"/>
      <c r="W33" s="615"/>
      <c r="X33" s="615"/>
      <c r="Y33" s="615"/>
      <c r="Z33" s="615"/>
      <c r="AA33" s="615"/>
    </row>
    <row r="34" spans="1:27" ht="14.25" customHeight="1">
      <c r="A34" s="615"/>
      <c r="B34" s="675" t="s">
        <v>591</v>
      </c>
      <c r="C34" s="670"/>
      <c r="D34" s="671"/>
      <c r="E34" s="676">
        <v>0.91</v>
      </c>
      <c r="F34" s="677"/>
      <c r="G34" s="676">
        <v>0.15</v>
      </c>
      <c r="H34" s="677"/>
      <c r="I34" s="676">
        <v>0.5</v>
      </c>
      <c r="J34" s="677"/>
      <c r="K34" s="676">
        <v>0.60000000000000009</v>
      </c>
      <c r="L34" s="677"/>
      <c r="M34" s="3152" t="s">
        <v>592</v>
      </c>
      <c r="N34" s="3152"/>
      <c r="O34" s="615"/>
      <c r="P34" s="673">
        <v>3</v>
      </c>
      <c r="Q34" s="673"/>
      <c r="R34" s="673">
        <v>9</v>
      </c>
      <c r="S34" s="673"/>
      <c r="T34" s="680" t="s">
        <v>593</v>
      </c>
      <c r="U34" s="615"/>
      <c r="V34" s="615"/>
      <c r="W34" s="615"/>
      <c r="X34" s="615"/>
      <c r="Y34" s="615"/>
      <c r="Z34" s="615"/>
      <c r="AA34" s="615"/>
    </row>
    <row r="35" spans="1:27" ht="14.25" customHeight="1">
      <c r="A35" s="615"/>
      <c r="B35" s="675" t="s">
        <v>594</v>
      </c>
      <c r="C35" s="670"/>
      <c r="D35" s="671"/>
      <c r="E35" s="676">
        <v>0.91</v>
      </c>
      <c r="F35" s="677"/>
      <c r="G35" s="676">
        <v>0.15</v>
      </c>
      <c r="H35" s="677"/>
      <c r="I35" s="676">
        <v>0.5</v>
      </c>
      <c r="J35" s="677"/>
      <c r="K35" s="676">
        <v>0.60000000000000009</v>
      </c>
      <c r="L35" s="677"/>
      <c r="M35" s="3152" t="s">
        <v>592</v>
      </c>
      <c r="N35" s="3152"/>
      <c r="O35" s="615"/>
      <c r="P35" s="673"/>
      <c r="Q35" s="673"/>
      <c r="R35" s="673"/>
      <c r="S35" s="673"/>
      <c r="T35" s="678"/>
      <c r="U35" s="615"/>
      <c r="V35" s="615"/>
      <c r="W35" s="615"/>
      <c r="X35" s="615"/>
      <c r="Y35" s="615"/>
      <c r="Z35" s="615"/>
      <c r="AA35" s="615"/>
    </row>
    <row r="36" spans="1:27" ht="14.25" customHeight="1">
      <c r="A36" s="615"/>
      <c r="B36" s="675" t="s">
        <v>595</v>
      </c>
      <c r="C36" s="670"/>
      <c r="D36" s="671"/>
      <c r="E36" s="676">
        <v>0.91</v>
      </c>
      <c r="F36" s="677"/>
      <c r="G36" s="676">
        <v>0.15</v>
      </c>
      <c r="H36" s="677"/>
      <c r="I36" s="676">
        <v>0.5</v>
      </c>
      <c r="J36" s="677"/>
      <c r="K36" s="676">
        <v>0.60000000000000009</v>
      </c>
      <c r="L36" s="677"/>
      <c r="M36" s="3152" t="s">
        <v>592</v>
      </c>
      <c r="N36" s="3152"/>
      <c r="O36" s="615"/>
      <c r="P36" s="673" t="s">
        <v>596</v>
      </c>
      <c r="Q36" s="673"/>
      <c r="R36" s="673">
        <v>13</v>
      </c>
      <c r="S36" s="673">
        <v>83</v>
      </c>
      <c r="T36" s="680" t="s">
        <v>595</v>
      </c>
      <c r="U36" s="615"/>
      <c r="V36" s="615"/>
      <c r="W36" s="615"/>
      <c r="X36" s="615"/>
      <c r="Y36" s="615"/>
      <c r="Z36" s="615"/>
      <c r="AA36" s="615"/>
    </row>
    <row r="37" spans="1:27" ht="14.25" customHeight="1">
      <c r="A37" s="615"/>
      <c r="B37" s="675" t="s">
        <v>597</v>
      </c>
      <c r="C37" s="670"/>
      <c r="D37" s="671"/>
      <c r="E37" s="676">
        <v>0.91</v>
      </c>
      <c r="F37" s="677"/>
      <c r="G37" s="676">
        <v>0.15</v>
      </c>
      <c r="H37" s="677"/>
      <c r="I37" s="676">
        <v>0.5</v>
      </c>
      <c r="J37" s="677"/>
      <c r="K37" s="676">
        <v>0.60000000000000009</v>
      </c>
      <c r="L37" s="677"/>
      <c r="M37" s="3152" t="s">
        <v>592</v>
      </c>
      <c r="N37" s="3152"/>
      <c r="O37" s="615"/>
      <c r="P37" s="673"/>
      <c r="Q37" s="673"/>
      <c r="R37" s="673"/>
      <c r="S37" s="673"/>
      <c r="T37" s="678"/>
      <c r="U37" s="615"/>
      <c r="V37" s="615"/>
      <c r="W37" s="615"/>
      <c r="X37" s="615"/>
      <c r="Y37" s="615"/>
      <c r="Z37" s="615"/>
      <c r="AA37" s="615"/>
    </row>
    <row r="38" spans="1:27" ht="14.25" customHeight="1">
      <c r="A38" s="615"/>
      <c r="B38" s="675" t="s">
        <v>598</v>
      </c>
      <c r="C38" s="670"/>
      <c r="D38" s="671"/>
      <c r="E38" s="676">
        <v>0.87</v>
      </c>
      <c r="F38" s="677"/>
      <c r="G38" s="676">
        <v>0.5</v>
      </c>
      <c r="H38" s="677"/>
      <c r="I38" s="676">
        <v>0.7</v>
      </c>
      <c r="J38" s="677"/>
      <c r="K38" s="676">
        <v>0.75</v>
      </c>
      <c r="L38" s="677"/>
      <c r="M38" s="3152" t="s">
        <v>584</v>
      </c>
      <c r="N38" s="3152"/>
      <c r="O38" s="615"/>
      <c r="P38" s="673"/>
      <c r="Q38" s="673"/>
      <c r="R38" s="673"/>
      <c r="S38" s="673"/>
      <c r="T38" s="678"/>
      <c r="U38" s="615"/>
      <c r="V38" s="615"/>
      <c r="W38" s="615"/>
      <c r="X38" s="615"/>
      <c r="Y38" s="615"/>
      <c r="Z38" s="615"/>
      <c r="AA38" s="615"/>
    </row>
    <row r="39" spans="1:27" ht="14.25" customHeight="1">
      <c r="A39" s="615"/>
      <c r="B39" s="675" t="s">
        <v>599</v>
      </c>
      <c r="C39" s="670"/>
      <c r="D39" s="671"/>
      <c r="E39" s="676">
        <v>0.91</v>
      </c>
      <c r="F39" s="677"/>
      <c r="G39" s="676">
        <v>0.15</v>
      </c>
      <c r="H39" s="677"/>
      <c r="I39" s="676">
        <v>0.5</v>
      </c>
      <c r="J39" s="677"/>
      <c r="K39" s="676">
        <v>0.60000000000000009</v>
      </c>
      <c r="L39" s="677"/>
      <c r="M39" s="3152" t="s">
        <v>592</v>
      </c>
      <c r="N39" s="3152"/>
      <c r="O39" s="615"/>
      <c r="P39" s="673"/>
      <c r="Q39" s="673"/>
      <c r="R39" s="673"/>
      <c r="S39" s="673"/>
      <c r="T39" s="678"/>
      <c r="U39" s="615"/>
      <c r="V39" s="615"/>
      <c r="W39" s="615"/>
      <c r="X39" s="615"/>
      <c r="Y39" s="615"/>
      <c r="Z39" s="615"/>
      <c r="AA39" s="615"/>
    </row>
    <row r="40" spans="1:27" ht="14.25" customHeight="1">
      <c r="A40" s="615"/>
      <c r="B40" s="675" t="s">
        <v>600</v>
      </c>
      <c r="C40" s="670"/>
      <c r="D40" s="671"/>
      <c r="E40" s="676">
        <v>0.91</v>
      </c>
      <c r="F40" s="677"/>
      <c r="G40" s="676">
        <v>0.01</v>
      </c>
      <c r="H40" s="677"/>
      <c r="I40" s="676">
        <v>0.1</v>
      </c>
      <c r="J40" s="677"/>
      <c r="K40" s="676">
        <v>0.2</v>
      </c>
      <c r="L40" s="677"/>
      <c r="M40" s="3152" t="s">
        <v>601</v>
      </c>
      <c r="N40" s="3152"/>
      <c r="O40" s="615"/>
      <c r="P40" s="673"/>
      <c r="Q40" s="673"/>
      <c r="R40" s="673"/>
      <c r="S40" s="673"/>
      <c r="T40" s="678"/>
      <c r="U40" s="615"/>
      <c r="V40" s="615"/>
      <c r="W40" s="615"/>
      <c r="X40" s="615"/>
      <c r="Y40" s="615"/>
      <c r="Z40" s="615"/>
      <c r="AA40" s="615"/>
    </row>
    <row r="41" spans="1:27" ht="14.25" customHeight="1">
      <c r="A41" s="615"/>
      <c r="B41" s="675" t="s">
        <v>167</v>
      </c>
      <c r="C41" s="670"/>
      <c r="D41" s="671"/>
      <c r="E41" s="676">
        <v>0.91</v>
      </c>
      <c r="F41" s="677"/>
      <c r="G41" s="676">
        <v>0.01</v>
      </c>
      <c r="H41" s="677"/>
      <c r="I41" s="676">
        <v>0.1</v>
      </c>
      <c r="J41" s="677"/>
      <c r="K41" s="676">
        <v>0.2</v>
      </c>
      <c r="L41" s="677"/>
      <c r="M41" s="3152" t="s">
        <v>601</v>
      </c>
      <c r="N41" s="3152"/>
      <c r="O41" s="615"/>
      <c r="P41" s="673"/>
      <c r="Q41" s="673"/>
      <c r="R41" s="673"/>
      <c r="S41" s="673"/>
      <c r="T41" s="678"/>
      <c r="U41" s="615"/>
      <c r="V41" s="615"/>
      <c r="W41" s="615"/>
      <c r="X41" s="615"/>
      <c r="Y41" s="615"/>
      <c r="Z41" s="615"/>
      <c r="AA41" s="615"/>
    </row>
    <row r="42" spans="1:27" ht="14.25" customHeight="1">
      <c r="A42" s="615"/>
      <c r="B42" s="675" t="s">
        <v>602</v>
      </c>
      <c r="C42" s="670"/>
      <c r="D42" s="671"/>
      <c r="E42" s="676">
        <v>0.91</v>
      </c>
      <c r="F42" s="677"/>
      <c r="G42" s="676">
        <v>0.15</v>
      </c>
      <c r="H42" s="677"/>
      <c r="I42" s="676">
        <v>0.5</v>
      </c>
      <c r="J42" s="677"/>
      <c r="K42" s="676">
        <v>0.60000000000000009</v>
      </c>
      <c r="L42" s="677"/>
      <c r="M42" s="3152" t="s">
        <v>592</v>
      </c>
      <c r="N42" s="3152"/>
      <c r="O42" s="615"/>
      <c r="P42" s="673"/>
      <c r="Q42" s="673"/>
      <c r="R42" s="673"/>
      <c r="S42" s="673"/>
      <c r="T42" s="678"/>
      <c r="U42" s="615"/>
      <c r="V42" s="615"/>
      <c r="W42" s="615"/>
      <c r="X42" s="615"/>
      <c r="Y42" s="615"/>
      <c r="Z42" s="615"/>
      <c r="AA42" s="615"/>
    </row>
    <row r="43" spans="1:27" ht="14.25" customHeight="1">
      <c r="A43" s="615"/>
      <c r="B43" s="675" t="s">
        <v>603</v>
      </c>
      <c r="C43" s="670"/>
      <c r="D43" s="671"/>
      <c r="E43" s="676">
        <v>0.87</v>
      </c>
      <c r="F43" s="677"/>
      <c r="G43" s="676">
        <v>0.5</v>
      </c>
      <c r="H43" s="677"/>
      <c r="I43" s="676">
        <v>0.7</v>
      </c>
      <c r="J43" s="677"/>
      <c r="K43" s="676">
        <v>0.75</v>
      </c>
      <c r="L43" s="677"/>
      <c r="M43" s="3152" t="s">
        <v>584</v>
      </c>
      <c r="N43" s="3152"/>
      <c r="O43" s="615"/>
      <c r="P43" s="673"/>
      <c r="Q43" s="673"/>
      <c r="R43" s="673"/>
      <c r="S43" s="673"/>
      <c r="T43" s="678"/>
      <c r="U43" s="615"/>
      <c r="V43" s="615"/>
      <c r="W43" s="615"/>
      <c r="X43" s="615"/>
      <c r="Y43" s="615"/>
      <c r="Z43" s="615"/>
      <c r="AA43" s="615"/>
    </row>
    <row r="44" spans="1:27" ht="14.25" customHeight="1">
      <c r="A44" s="615"/>
      <c r="B44" s="675" t="s">
        <v>604</v>
      </c>
      <c r="C44" s="670"/>
      <c r="D44" s="671"/>
      <c r="E44" s="676">
        <v>0.91</v>
      </c>
      <c r="F44" s="677"/>
      <c r="G44" s="676">
        <v>0.15</v>
      </c>
      <c r="H44" s="677"/>
      <c r="I44" s="676">
        <v>0.5</v>
      </c>
      <c r="J44" s="677"/>
      <c r="K44" s="676">
        <v>0.60000000000000009</v>
      </c>
      <c r="L44" s="677"/>
      <c r="M44" s="3152" t="s">
        <v>592</v>
      </c>
      <c r="N44" s="3152"/>
      <c r="O44" s="615"/>
      <c r="P44" s="673"/>
      <c r="Q44" s="673"/>
      <c r="R44" s="673"/>
      <c r="S44" s="673"/>
      <c r="T44" s="678"/>
      <c r="U44" s="615"/>
      <c r="V44" s="615"/>
      <c r="W44" s="615"/>
      <c r="X44" s="615"/>
      <c r="Y44" s="615"/>
      <c r="Z44" s="615"/>
      <c r="AA44" s="615"/>
    </row>
    <row r="45" spans="1:27" ht="14.25" customHeight="1">
      <c r="A45" s="615"/>
      <c r="B45" s="675" t="s">
        <v>605</v>
      </c>
      <c r="C45" s="670"/>
      <c r="D45" s="671"/>
      <c r="E45" s="676">
        <v>0.91</v>
      </c>
      <c r="F45" s="677"/>
      <c r="G45" s="676">
        <v>0.15</v>
      </c>
      <c r="H45" s="677"/>
      <c r="I45" s="676">
        <v>0.5</v>
      </c>
      <c r="J45" s="677"/>
      <c r="K45" s="676">
        <v>0.60000000000000009</v>
      </c>
      <c r="L45" s="677"/>
      <c r="M45" s="3152" t="s">
        <v>592</v>
      </c>
      <c r="N45" s="3152"/>
      <c r="O45" s="615"/>
      <c r="P45" s="673">
        <v>20</v>
      </c>
      <c r="Q45" s="673"/>
      <c r="R45" s="673"/>
      <c r="S45" s="673">
        <v>100</v>
      </c>
      <c r="T45" s="680" t="s">
        <v>605</v>
      </c>
      <c r="U45" s="615"/>
      <c r="V45" s="615"/>
      <c r="W45" s="615"/>
      <c r="X45" s="615"/>
      <c r="Y45" s="615"/>
      <c r="Z45" s="615"/>
      <c r="AA45" s="615"/>
    </row>
    <row r="46" spans="1:27" ht="14.25" customHeight="1">
      <c r="A46" s="615"/>
      <c r="B46" s="675" t="s">
        <v>606</v>
      </c>
      <c r="C46" s="670"/>
      <c r="D46" s="671"/>
      <c r="E46" s="676">
        <v>0.91</v>
      </c>
      <c r="F46" s="677"/>
      <c r="G46" s="676">
        <v>0.15</v>
      </c>
      <c r="H46" s="677"/>
      <c r="I46" s="676">
        <v>0.5</v>
      </c>
      <c r="J46" s="677"/>
      <c r="K46" s="676">
        <v>0.60000000000000009</v>
      </c>
      <c r="L46" s="677"/>
      <c r="M46" s="3152" t="s">
        <v>592</v>
      </c>
      <c r="N46" s="3152"/>
      <c r="O46" s="615"/>
      <c r="P46" s="673">
        <v>2</v>
      </c>
      <c r="Q46" s="673"/>
      <c r="R46" s="673"/>
      <c r="S46" s="673">
        <v>2</v>
      </c>
      <c r="T46" s="680" t="s">
        <v>607</v>
      </c>
      <c r="U46" s="615"/>
      <c r="V46" s="615"/>
      <c r="W46" s="615"/>
      <c r="X46" s="615"/>
      <c r="Y46" s="615"/>
      <c r="Z46" s="615"/>
      <c r="AA46" s="615"/>
    </row>
    <row r="47" spans="1:27" ht="14.25" customHeight="1">
      <c r="A47" s="615"/>
      <c r="B47" s="675" t="s">
        <v>608</v>
      </c>
      <c r="C47" s="670"/>
      <c r="D47" s="671"/>
      <c r="E47" s="676">
        <v>0.91</v>
      </c>
      <c r="F47" s="677"/>
      <c r="G47" s="676">
        <v>0.15</v>
      </c>
      <c r="H47" s="677"/>
      <c r="I47" s="676">
        <v>0.5</v>
      </c>
      <c r="J47" s="677"/>
      <c r="K47" s="676">
        <v>0.60000000000000009</v>
      </c>
      <c r="L47" s="677"/>
      <c r="M47" s="3152" t="s">
        <v>592</v>
      </c>
      <c r="N47" s="3152"/>
      <c r="O47" s="615"/>
      <c r="P47" s="673">
        <v>50</v>
      </c>
      <c r="Q47" s="673"/>
      <c r="R47" s="673">
        <v>20</v>
      </c>
      <c r="S47" s="673">
        <v>10</v>
      </c>
      <c r="T47" s="680" t="s">
        <v>609</v>
      </c>
      <c r="U47" s="615"/>
      <c r="V47" s="615"/>
      <c r="W47" s="615"/>
      <c r="X47" s="615"/>
      <c r="Y47" s="615"/>
      <c r="Z47" s="615"/>
      <c r="AA47" s="615"/>
    </row>
    <row r="48" spans="1:27" ht="14.25" customHeight="1">
      <c r="A48" s="615"/>
      <c r="B48" s="675" t="s">
        <v>610</v>
      </c>
      <c r="C48" s="670"/>
      <c r="D48" s="671"/>
      <c r="E48" s="676">
        <v>0.87</v>
      </c>
      <c r="F48" s="677"/>
      <c r="G48" s="676">
        <v>0.9</v>
      </c>
      <c r="H48" s="677"/>
      <c r="I48" s="676">
        <v>1</v>
      </c>
      <c r="J48" s="677"/>
      <c r="K48" s="676">
        <v>1</v>
      </c>
      <c r="L48" s="677"/>
      <c r="M48" s="3152" t="s">
        <v>590</v>
      </c>
      <c r="N48" s="3152"/>
      <c r="O48" s="615"/>
      <c r="P48" s="673" t="s">
        <v>611</v>
      </c>
      <c r="Q48" s="673"/>
      <c r="R48" s="673"/>
      <c r="S48" s="673"/>
      <c r="T48" s="681"/>
      <c r="U48" s="615"/>
      <c r="V48" s="615"/>
      <c r="W48" s="615"/>
      <c r="X48" s="615"/>
      <c r="Y48" s="615"/>
      <c r="Z48" s="615"/>
      <c r="AA48" s="615"/>
    </row>
    <row r="49" spans="1:27" ht="14.25" customHeight="1">
      <c r="A49" s="615"/>
      <c r="B49" s="675" t="s">
        <v>612</v>
      </c>
      <c r="C49" s="670"/>
      <c r="D49" s="671"/>
      <c r="E49" s="676">
        <v>0.91</v>
      </c>
      <c r="F49" s="677"/>
      <c r="G49" s="676">
        <v>0.15</v>
      </c>
      <c r="H49" s="677"/>
      <c r="I49" s="676">
        <v>0.5</v>
      </c>
      <c r="J49" s="677"/>
      <c r="K49" s="676">
        <v>0.60000000000000009</v>
      </c>
      <c r="L49" s="677"/>
      <c r="M49" s="3152" t="s">
        <v>592</v>
      </c>
      <c r="N49" s="3152"/>
      <c r="O49" s="615"/>
      <c r="P49" s="682">
        <v>2</v>
      </c>
      <c r="Q49" s="682"/>
      <c r="R49" s="682">
        <v>0.4</v>
      </c>
      <c r="S49" s="682">
        <v>5.5</v>
      </c>
      <c r="T49" s="683" t="s">
        <v>612</v>
      </c>
      <c r="U49" s="615"/>
      <c r="V49" s="615"/>
      <c r="W49" s="615"/>
      <c r="X49" s="615"/>
      <c r="Y49" s="615"/>
      <c r="Z49" s="615"/>
      <c r="AA49" s="615"/>
    </row>
    <row r="50" spans="1:27" ht="15">
      <c r="A50" s="615"/>
      <c r="B50" s="684" t="s">
        <v>613</v>
      </c>
      <c r="C50" s="685"/>
      <c r="D50" s="685"/>
      <c r="E50" s="685"/>
      <c r="F50" s="685"/>
      <c r="G50" s="685"/>
      <c r="H50" s="685"/>
      <c r="I50" s="685"/>
      <c r="J50" s="685"/>
      <c r="K50" s="686"/>
      <c r="L50" s="685"/>
      <c r="M50" s="685"/>
      <c r="N50" s="687" t="s">
        <v>614</v>
      </c>
      <c r="O50" s="615"/>
      <c r="P50" s="615"/>
      <c r="Q50" s="615"/>
      <c r="R50" s="615"/>
      <c r="S50" s="615"/>
      <c r="T50" s="615"/>
      <c r="U50" s="615"/>
      <c r="V50" s="615"/>
      <c r="W50" s="615"/>
      <c r="X50" s="615"/>
      <c r="Y50" s="615"/>
      <c r="Z50" s="615"/>
      <c r="AA50" s="615"/>
    </row>
    <row r="51" spans="1:27">
      <c r="A51" s="615"/>
      <c r="B51" s="688" t="s">
        <v>615</v>
      </c>
      <c r="C51" s="689"/>
      <c r="D51" s="689"/>
      <c r="E51" s="689"/>
      <c r="F51" s="689"/>
      <c r="G51" s="689"/>
      <c r="H51" s="689"/>
      <c r="I51" s="689"/>
      <c r="J51" s="689"/>
      <c r="K51" s="690"/>
      <c r="L51" s="689"/>
      <c r="M51" s="689"/>
      <c r="N51" s="691" t="s">
        <v>616</v>
      </c>
      <c r="O51" s="615"/>
      <c r="P51" s="615"/>
      <c r="Q51" s="615"/>
      <c r="R51" s="615"/>
      <c r="S51" s="615"/>
      <c r="T51" s="615"/>
      <c r="U51" s="615"/>
      <c r="V51" s="615"/>
      <c r="W51" s="615"/>
      <c r="X51" s="615"/>
      <c r="Y51" s="615"/>
      <c r="Z51" s="615"/>
      <c r="AA51" s="615"/>
    </row>
    <row r="52" spans="1:27">
      <c r="A52" s="615"/>
      <c r="B52" s="688" t="s">
        <v>617</v>
      </c>
      <c r="C52" s="689"/>
      <c r="D52" s="689"/>
      <c r="E52" s="689"/>
      <c r="F52" s="689"/>
      <c r="G52" s="689"/>
      <c r="H52" s="689"/>
      <c r="I52" s="689"/>
      <c r="J52" s="689"/>
      <c r="K52" s="689"/>
      <c r="L52" s="689"/>
      <c r="M52" s="689"/>
      <c r="N52" s="678"/>
      <c r="O52" s="615"/>
      <c r="P52" s="615"/>
      <c r="Q52" s="615"/>
      <c r="R52" s="615"/>
      <c r="S52" s="615"/>
      <c r="T52" s="615"/>
      <c r="U52" s="615"/>
      <c r="V52" s="615"/>
      <c r="W52" s="615"/>
      <c r="X52" s="615"/>
      <c r="Y52" s="615"/>
      <c r="Z52" s="615"/>
      <c r="AA52" s="615"/>
    </row>
    <row r="53" spans="1:27">
      <c r="A53" s="615"/>
      <c r="B53" s="688" t="s">
        <v>618</v>
      </c>
      <c r="C53" s="689"/>
      <c r="D53" s="689"/>
      <c r="E53" s="689"/>
      <c r="F53" s="689"/>
      <c r="G53" s="689"/>
      <c r="H53" s="689"/>
      <c r="I53" s="689"/>
      <c r="J53" s="689"/>
      <c r="K53" s="689"/>
      <c r="L53" s="689"/>
      <c r="M53" s="689"/>
      <c r="N53" s="678"/>
      <c r="O53" s="615"/>
      <c r="P53" s="615"/>
      <c r="Q53" s="615"/>
      <c r="R53" s="615"/>
      <c r="S53" s="615"/>
      <c r="T53" s="615"/>
      <c r="U53" s="615"/>
      <c r="V53" s="615"/>
      <c r="W53" s="615"/>
      <c r="X53" s="615"/>
      <c r="Y53" s="615"/>
      <c r="Z53" s="615"/>
      <c r="AA53" s="615"/>
    </row>
    <row r="54" spans="1:27">
      <c r="A54" s="615"/>
      <c r="B54" s="692" t="s">
        <v>619</v>
      </c>
      <c r="C54" s="693"/>
      <c r="D54" s="693"/>
      <c r="E54" s="693"/>
      <c r="F54" s="693"/>
      <c r="G54" s="693"/>
      <c r="H54" s="693"/>
      <c r="I54" s="693"/>
      <c r="J54" s="693"/>
      <c r="K54" s="693"/>
      <c r="L54" s="693"/>
      <c r="M54" s="693"/>
      <c r="N54" s="681"/>
      <c r="O54" s="615"/>
      <c r="P54" s="615"/>
      <c r="Q54" s="615"/>
      <c r="R54" s="615"/>
      <c r="S54" s="615"/>
      <c r="T54" s="615"/>
      <c r="U54" s="615"/>
      <c r="V54" s="615"/>
      <c r="W54" s="615"/>
      <c r="X54" s="615"/>
      <c r="Y54" s="615"/>
      <c r="Z54" s="615"/>
      <c r="AA54" s="615"/>
    </row>
    <row r="55" spans="1:27">
      <c r="A55" s="615"/>
      <c r="B55" s="615"/>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row>
    <row r="56" spans="1:27" ht="14.25" hidden="1">
      <c r="A56" s="615"/>
      <c r="B56" s="694"/>
      <c r="C56" s="694" t="s">
        <v>620</v>
      </c>
      <c r="D56" s="694"/>
      <c r="E56" s="694"/>
      <c r="F56" s="694"/>
      <c r="G56" s="694" t="s">
        <v>621</v>
      </c>
      <c r="H56" s="694"/>
      <c r="I56" s="694"/>
      <c r="J56" s="694"/>
      <c r="K56" s="694"/>
      <c r="L56" s="694" t="s">
        <v>527</v>
      </c>
      <c r="M56" s="694"/>
      <c r="N56" s="694"/>
      <c r="O56" s="694"/>
      <c r="P56" s="694" t="s">
        <v>622</v>
      </c>
      <c r="Q56" s="694"/>
      <c r="R56" s="694" t="s">
        <v>623</v>
      </c>
      <c r="S56" s="694" t="s">
        <v>624</v>
      </c>
      <c r="T56" s="694" t="s">
        <v>625</v>
      </c>
      <c r="U56" s="673" t="s">
        <v>623</v>
      </c>
      <c r="V56" s="673" t="s">
        <v>624</v>
      </c>
      <c r="W56" s="673" t="s">
        <v>626</v>
      </c>
      <c r="X56" s="674"/>
      <c r="Y56" s="674" t="s">
        <v>627</v>
      </c>
      <c r="Z56" s="674"/>
      <c r="AA56" s="615"/>
    </row>
    <row r="57" spans="1:27" ht="14.25" hidden="1">
      <c r="A57" s="615"/>
      <c r="B57" s="674"/>
      <c r="C57" s="694" t="s">
        <v>168</v>
      </c>
      <c r="D57" s="694" t="s">
        <v>180</v>
      </c>
      <c r="E57" s="694" t="s">
        <v>124</v>
      </c>
      <c r="F57" s="694" t="s">
        <v>125</v>
      </c>
      <c r="G57" s="694" t="s">
        <v>168</v>
      </c>
      <c r="H57" s="694" t="s">
        <v>180</v>
      </c>
      <c r="I57" s="694" t="s">
        <v>124</v>
      </c>
      <c r="J57" s="694" t="s">
        <v>125</v>
      </c>
      <c r="K57" s="694" t="s">
        <v>628</v>
      </c>
      <c r="L57" s="694" t="s">
        <v>168</v>
      </c>
      <c r="M57" s="694" t="s">
        <v>180</v>
      </c>
      <c r="N57" s="694" t="s">
        <v>124</v>
      </c>
      <c r="O57" s="694" t="s">
        <v>125</v>
      </c>
      <c r="P57" s="674"/>
      <c r="Q57" s="673"/>
      <c r="R57" s="673"/>
      <c r="S57" s="673"/>
      <c r="T57" s="673"/>
      <c r="U57" s="673"/>
      <c r="V57" s="673"/>
      <c r="W57" s="673"/>
      <c r="X57" s="674"/>
      <c r="Y57" s="674" t="s">
        <v>629</v>
      </c>
      <c r="Z57" s="674"/>
      <c r="AA57" s="615"/>
    </row>
    <row r="58" spans="1:27" ht="21" hidden="1">
      <c r="A58" s="615"/>
      <c r="B58" s="674" t="s">
        <v>630</v>
      </c>
      <c r="C58" s="694">
        <f>C4*$G$4</f>
        <v>0</v>
      </c>
      <c r="D58" s="694">
        <f>$C58*D4</f>
        <v>0</v>
      </c>
      <c r="E58" s="694">
        <f>$C58*E4</f>
        <v>0</v>
      </c>
      <c r="F58" s="694">
        <f>$C58*F4</f>
        <v>0</v>
      </c>
      <c r="G58" s="694">
        <f>C4-C58</f>
        <v>0</v>
      </c>
      <c r="H58" s="694">
        <f>$G58*D4</f>
        <v>0</v>
      </c>
      <c r="I58" s="694">
        <f>$G58*E4</f>
        <v>0</v>
      </c>
      <c r="J58" s="694">
        <f>$G58*F4</f>
        <v>0</v>
      </c>
      <c r="K58" s="694">
        <f>G$4*M58</f>
        <v>0</v>
      </c>
      <c r="L58" s="694">
        <f>IF($M$4=0,I$4,0)</f>
        <v>0</v>
      </c>
      <c r="M58" s="694">
        <f>IF($M$4=0,J$4,0)</f>
        <v>0</v>
      </c>
      <c r="N58" s="694">
        <f>IF($M$4=0,K$4,0)</f>
        <v>0</v>
      </c>
      <c r="O58" s="673">
        <f>IF($M$4=0,L$4,0)</f>
        <v>0</v>
      </c>
      <c r="P58" s="674" t="s">
        <v>631</v>
      </c>
      <c r="Q58" s="673">
        <v>58</v>
      </c>
      <c r="R58" s="673">
        <f>D$4*0.87</f>
        <v>0</v>
      </c>
      <c r="S58" s="673">
        <f>R58*Y$60</f>
        <v>0</v>
      </c>
      <c r="T58" s="673">
        <v>0.65</v>
      </c>
      <c r="U58" s="673">
        <f>IF(M58=0,0,R58)</f>
        <v>0</v>
      </c>
      <c r="V58" s="695">
        <f>IF(M58=0,0,S58)</f>
        <v>0</v>
      </c>
      <c r="W58" s="695">
        <f>IF(M58=0,0,T58)</f>
        <v>0</v>
      </c>
      <c r="X58" s="674" t="s">
        <v>630</v>
      </c>
      <c r="Y58" s="695">
        <f>Hofdung!U4</f>
        <v>0.7</v>
      </c>
      <c r="Z58" s="674" t="s">
        <v>632</v>
      </c>
      <c r="AA58" s="615" t="s">
        <v>633</v>
      </c>
    </row>
    <row r="59" spans="1:27" ht="14.25" hidden="1">
      <c r="A59" s="615"/>
      <c r="B59" s="674"/>
      <c r="C59" s="694"/>
      <c r="D59" s="694"/>
      <c r="E59" s="694"/>
      <c r="F59" s="694"/>
      <c r="G59" s="694"/>
      <c r="H59" s="694"/>
      <c r="I59" s="694"/>
      <c r="J59" s="694"/>
      <c r="K59" s="694">
        <f>G$4*M59</f>
        <v>0</v>
      </c>
      <c r="L59" s="694">
        <f>IF($M$4=0,0,IF($M$4&lt;0.55,I$4,0))</f>
        <v>0</v>
      </c>
      <c r="M59" s="694">
        <f>IF($M$4=0,0,IF($M$4&lt;0.55,J$4,0))</f>
        <v>0</v>
      </c>
      <c r="N59" s="694">
        <f>IF($M$4=0,0,IF($M$4&lt;0.55,K$4,0))</f>
        <v>0</v>
      </c>
      <c r="O59" s="673">
        <f>IF($M$4=0,0,IF($M$4&lt;0.55,L$4,0))</f>
        <v>0</v>
      </c>
      <c r="P59" s="674" t="s">
        <v>632</v>
      </c>
      <c r="Q59" s="673">
        <v>59</v>
      </c>
      <c r="R59" s="673">
        <f>D$4*0.87</f>
        <v>0</v>
      </c>
      <c r="S59" s="673">
        <f>R59*Y$58</f>
        <v>0</v>
      </c>
      <c r="T59" s="673">
        <v>0.5</v>
      </c>
      <c r="U59" s="673">
        <f>IF(M59=0,0,R59)</f>
        <v>0</v>
      </c>
      <c r="V59" s="695">
        <f>IF(M59=0,0,S59)</f>
        <v>0</v>
      </c>
      <c r="W59" s="695">
        <f>IF(M59=0,0,T59)</f>
        <v>0</v>
      </c>
      <c r="X59" s="674"/>
      <c r="Y59" s="695">
        <f>Hofdung!U6</f>
        <v>0.85</v>
      </c>
      <c r="Z59" s="674" t="s">
        <v>634</v>
      </c>
      <c r="AA59" s="615" t="s">
        <v>635</v>
      </c>
    </row>
    <row r="60" spans="1:27" ht="14.25" hidden="1">
      <c r="A60" s="615"/>
      <c r="B60" s="674"/>
      <c r="C60" s="694"/>
      <c r="D60" s="694"/>
      <c r="E60" s="694"/>
      <c r="F60" s="694"/>
      <c r="G60" s="694"/>
      <c r="H60" s="694"/>
      <c r="I60" s="694"/>
      <c r="J60" s="694"/>
      <c r="K60" s="694">
        <f>G$4*M60</f>
        <v>0</v>
      </c>
      <c r="L60" s="694">
        <f>IF(AND($M$4&gt;=0.55,$M$4&lt;0.625),I$4,0)</f>
        <v>0</v>
      </c>
      <c r="M60" s="694">
        <f>IF(AND($M$4&gt;=0.55,$M$4&lt;0.625),J$4,0)</f>
        <v>0</v>
      </c>
      <c r="N60" s="694">
        <f>IF(AND($M$4&gt;=0.55,$M$4&lt;0.625),K$4,0)</f>
        <v>0</v>
      </c>
      <c r="O60" s="673">
        <f>IF(AND($M$4&gt;=0.55,$M$4&lt;0.625),L$4,0)</f>
        <v>0</v>
      </c>
      <c r="P60" s="674" t="s">
        <v>634</v>
      </c>
      <c r="Q60" s="673">
        <v>60</v>
      </c>
      <c r="R60" s="673">
        <f>D$4*0.87</f>
        <v>0</v>
      </c>
      <c r="S60" s="673">
        <f>R60*Y$59</f>
        <v>0</v>
      </c>
      <c r="T60" s="673">
        <v>0.60000000000000009</v>
      </c>
      <c r="U60" s="673">
        <f>IF(M60=0,0,R60)</f>
        <v>0</v>
      </c>
      <c r="V60" s="695">
        <f>IF(M60=0,0,S60)</f>
        <v>0</v>
      </c>
      <c r="W60" s="695">
        <f>IF(M60=0,0,T60)</f>
        <v>0</v>
      </c>
      <c r="X60" s="674"/>
      <c r="Y60" s="695">
        <f>Hofdung!U5</f>
        <v>0.8</v>
      </c>
      <c r="Z60" s="674" t="s">
        <v>636</v>
      </c>
      <c r="AA60" s="615" t="s">
        <v>637</v>
      </c>
    </row>
    <row r="61" spans="1:27" ht="14.25" hidden="1">
      <c r="A61" s="615"/>
      <c r="B61" s="674"/>
      <c r="C61" s="694"/>
      <c r="D61" s="694"/>
      <c r="E61" s="694"/>
      <c r="F61" s="694"/>
      <c r="G61" s="694"/>
      <c r="H61" s="694"/>
      <c r="I61" s="694"/>
      <c r="J61" s="694"/>
      <c r="K61" s="694">
        <f>G$4*M61</f>
        <v>0</v>
      </c>
      <c r="L61" s="694">
        <f>IF(AND($M$4&gt;=0.625,$M$4&lt;0.775),I$4,0)</f>
        <v>0</v>
      </c>
      <c r="M61" s="694">
        <f>IF(AND($M$4&gt;=0.625,$M$4&lt;0.775),J$4,0)</f>
        <v>0</v>
      </c>
      <c r="N61" s="694">
        <f>IF(AND($M$4&gt;=0.625,$M$4&lt;0.775),K$4,0)</f>
        <v>0</v>
      </c>
      <c r="O61" s="673">
        <f>IF(AND($M$4&gt;=0.625,$M$4&lt;0.775),L$4,0)</f>
        <v>0</v>
      </c>
      <c r="P61" s="674" t="s">
        <v>636</v>
      </c>
      <c r="Q61" s="673">
        <v>61</v>
      </c>
      <c r="R61" s="673">
        <f>D$4*0.87</f>
        <v>0</v>
      </c>
      <c r="S61" s="673">
        <f>R61*Y$60</f>
        <v>0</v>
      </c>
      <c r="T61" s="673">
        <v>0.65</v>
      </c>
      <c r="U61" s="673">
        <f>IF(M61=0,0,R61)</f>
        <v>0</v>
      </c>
      <c r="V61" s="695">
        <f>IF(M61=0,0,S61)</f>
        <v>0</v>
      </c>
      <c r="W61" s="695">
        <f>IF(M61=0,0,T61)</f>
        <v>0</v>
      </c>
      <c r="X61" s="674"/>
      <c r="Y61" s="695">
        <f>Hofdung!U7</f>
        <v>1</v>
      </c>
      <c r="Z61" s="674" t="s">
        <v>638</v>
      </c>
      <c r="AA61" s="615" t="s">
        <v>639</v>
      </c>
    </row>
    <row r="62" spans="1:27" ht="14.25" hidden="1">
      <c r="A62" s="615"/>
      <c r="B62" s="674"/>
      <c r="C62" s="694"/>
      <c r="D62" s="694"/>
      <c r="E62" s="694"/>
      <c r="F62" s="694"/>
      <c r="G62" s="694"/>
      <c r="H62" s="694"/>
      <c r="I62" s="694"/>
      <c r="J62" s="694"/>
      <c r="K62" s="694">
        <f>G$4*M62</f>
        <v>0</v>
      </c>
      <c r="L62" s="694">
        <f>IF($M$4&gt;=0.775,I$4,0)</f>
        <v>0</v>
      </c>
      <c r="M62" s="694">
        <f>IF($M$4&gt;=0.775,J$4,0)</f>
        <v>0</v>
      </c>
      <c r="N62" s="694">
        <f>IF($M$4&gt;=0.775,K$4,0)</f>
        <v>0</v>
      </c>
      <c r="O62" s="673">
        <f>IF($M$4&gt;=0.775,L$4,0)</f>
        <v>0</v>
      </c>
      <c r="P62" s="674" t="s">
        <v>638</v>
      </c>
      <c r="Q62" s="673">
        <v>62</v>
      </c>
      <c r="R62" s="673">
        <f>D$4*0.87</f>
        <v>0</v>
      </c>
      <c r="S62" s="673">
        <f>R62*Y$61</f>
        <v>0</v>
      </c>
      <c r="T62" s="673">
        <v>0.9</v>
      </c>
      <c r="U62" s="673">
        <f>IF(M62=0,0,R62)</f>
        <v>0</v>
      </c>
      <c r="V62" s="695">
        <f>IF(M62=0,0,S62)</f>
        <v>0</v>
      </c>
      <c r="W62" s="695">
        <f>IF(M62=0,0,T62)</f>
        <v>0</v>
      </c>
      <c r="X62" s="674"/>
      <c r="Y62" s="695">
        <f>Hofdung!U8</f>
        <v>0.5</v>
      </c>
      <c r="Z62" s="674" t="s">
        <v>640</v>
      </c>
      <c r="AA62" s="615" t="s">
        <v>641</v>
      </c>
    </row>
    <row r="63" spans="1:27" ht="14.25" hidden="1">
      <c r="A63" s="615"/>
      <c r="B63" s="674"/>
      <c r="C63" s="694"/>
      <c r="D63" s="694"/>
      <c r="E63" s="694"/>
      <c r="F63" s="694"/>
      <c r="G63" s="694"/>
      <c r="H63" s="694"/>
      <c r="I63" s="694"/>
      <c r="J63" s="694"/>
      <c r="K63" s="694"/>
      <c r="L63" s="694"/>
      <c r="M63" s="694"/>
      <c r="N63" s="694"/>
      <c r="O63" s="673"/>
      <c r="P63" s="674"/>
      <c r="Q63" s="673">
        <v>63</v>
      </c>
      <c r="R63" s="673"/>
      <c r="S63" s="673"/>
      <c r="T63" s="673" t="s">
        <v>630</v>
      </c>
      <c r="U63" s="673">
        <f>SUM(U58:U62)</f>
        <v>0</v>
      </c>
      <c r="V63" s="695">
        <f>SUM(V58:V62)</f>
        <v>0</v>
      </c>
      <c r="W63" s="695">
        <f>SUM(W58:W62)</f>
        <v>0</v>
      </c>
      <c r="X63" s="674"/>
      <c r="Y63" s="695">
        <f>Hofdung!U9</f>
        <v>0.30000000000000004</v>
      </c>
      <c r="Z63" s="674" t="s">
        <v>642</v>
      </c>
      <c r="AA63" s="615" t="s">
        <v>643</v>
      </c>
    </row>
    <row r="64" spans="1:27" ht="21" hidden="1">
      <c r="A64" s="615"/>
      <c r="B64" s="674" t="s">
        <v>644</v>
      </c>
      <c r="C64" s="694">
        <f>C5*$G$5</f>
        <v>0</v>
      </c>
      <c r="D64" s="694">
        <f>$C64*D5</f>
        <v>0</v>
      </c>
      <c r="E64" s="694">
        <f>$C64*E5</f>
        <v>0</v>
      </c>
      <c r="F64" s="694">
        <f>$C64*F5</f>
        <v>0</v>
      </c>
      <c r="G64" s="694">
        <f>C5-C64</f>
        <v>0</v>
      </c>
      <c r="H64" s="694">
        <f>$G64*D5</f>
        <v>0</v>
      </c>
      <c r="I64" s="694">
        <f>$G64*E5</f>
        <v>0</v>
      </c>
      <c r="J64" s="694">
        <f>$G64*F5</f>
        <v>0</v>
      </c>
      <c r="K64" s="694">
        <f>G$5*M64</f>
        <v>0</v>
      </c>
      <c r="L64" s="694">
        <f>IF($M$5=0,I$5,0)</f>
        <v>0</v>
      </c>
      <c r="M64" s="694">
        <f>IF($M$5=0,J$5,0)</f>
        <v>0</v>
      </c>
      <c r="N64" s="694">
        <f>IF($M$5=0,K$5,0)</f>
        <v>0</v>
      </c>
      <c r="O64" s="673">
        <f>IF($M$5=0,L$5,0)</f>
        <v>0</v>
      </c>
      <c r="P64" s="674" t="s">
        <v>631</v>
      </c>
      <c r="Q64" s="673">
        <v>64</v>
      </c>
      <c r="R64" s="673">
        <f>D$5*0.87</f>
        <v>0</v>
      </c>
      <c r="S64" s="673">
        <f>R64*Y$60</f>
        <v>0</v>
      </c>
      <c r="T64" s="673">
        <v>0.65</v>
      </c>
      <c r="U64" s="673">
        <f>IF(M64=0,0,R64)</f>
        <v>0</v>
      </c>
      <c r="V64" s="695">
        <f>IF(M64=0,0,S64)</f>
        <v>0</v>
      </c>
      <c r="W64" s="695">
        <f>IF(M64=0,0,T64)</f>
        <v>0</v>
      </c>
      <c r="X64" s="674" t="s">
        <v>644</v>
      </c>
      <c r="Y64" s="695">
        <f>Hofdung!U10</f>
        <v>0.1</v>
      </c>
      <c r="Z64" s="674" t="s">
        <v>565</v>
      </c>
      <c r="AA64" s="615" t="s">
        <v>645</v>
      </c>
    </row>
    <row r="65" spans="1:27" ht="14.25" hidden="1">
      <c r="A65" s="615"/>
      <c r="B65" s="674"/>
      <c r="C65" s="694"/>
      <c r="D65" s="694"/>
      <c r="E65" s="694"/>
      <c r="F65" s="694"/>
      <c r="G65" s="694"/>
      <c r="H65" s="694"/>
      <c r="I65" s="694"/>
      <c r="J65" s="694"/>
      <c r="K65" s="694">
        <f>G$5*M65</f>
        <v>0</v>
      </c>
      <c r="L65" s="694">
        <f>IF($M$5=0,0,IF($M$5&lt;0.55,I$5,0))</f>
        <v>0</v>
      </c>
      <c r="M65" s="694">
        <f>IF($M$5=0,0,IF($M$5&lt;0.55,J$5,0))</f>
        <v>0</v>
      </c>
      <c r="N65" s="694">
        <f>IF($M$5=0,0,IF($M$5&lt;0.55,K$5,0))</f>
        <v>0</v>
      </c>
      <c r="O65" s="673">
        <f>IF($M$5=0,0,IF($M$5&lt;0.55,L$5,0))</f>
        <v>0</v>
      </c>
      <c r="P65" s="674" t="s">
        <v>632</v>
      </c>
      <c r="Q65" s="673">
        <v>65</v>
      </c>
      <c r="R65" s="673">
        <f>D$5*0.87</f>
        <v>0</v>
      </c>
      <c r="S65" s="673">
        <f>R65*Y$58</f>
        <v>0</v>
      </c>
      <c r="T65" s="673">
        <v>0.5</v>
      </c>
      <c r="U65" s="673">
        <f>IF(M65=0,0,R65)</f>
        <v>0</v>
      </c>
      <c r="V65" s="695">
        <f>IF(M65=0,0,S65)</f>
        <v>0</v>
      </c>
      <c r="W65" s="695">
        <f>IF(M65=0,0,T65)</f>
        <v>0</v>
      </c>
      <c r="X65" s="674"/>
      <c r="Y65" s="674"/>
      <c r="Z65" s="674"/>
      <c r="AA65" s="615"/>
    </row>
    <row r="66" spans="1:27" ht="14.25" hidden="1">
      <c r="A66" s="615"/>
      <c r="B66" s="674"/>
      <c r="C66" s="694"/>
      <c r="D66" s="694"/>
      <c r="E66" s="694"/>
      <c r="F66" s="694"/>
      <c r="G66" s="694"/>
      <c r="H66" s="694"/>
      <c r="I66" s="694"/>
      <c r="J66" s="694"/>
      <c r="K66" s="694">
        <f>G$5*M66</f>
        <v>0</v>
      </c>
      <c r="L66" s="694">
        <f>IF(AND($M$5&gt;=0.55,$M$5&lt;0.625),I$5,0)</f>
        <v>0</v>
      </c>
      <c r="M66" s="694">
        <f>IF(AND($M$5&gt;=0.55,$M$5&lt;0.625),J$5,0)</f>
        <v>0</v>
      </c>
      <c r="N66" s="694">
        <f>IF(AND($M$5&gt;=0.55,$M$5&lt;0.625),K$5,0)</f>
        <v>0</v>
      </c>
      <c r="O66" s="673">
        <f>IF(AND($M$5&gt;=0.55,$M$5&lt;0.625),L$5,0)</f>
        <v>0</v>
      </c>
      <c r="P66" s="674" t="s">
        <v>634</v>
      </c>
      <c r="Q66" s="673">
        <v>66</v>
      </c>
      <c r="R66" s="673">
        <f>D$5*0.87</f>
        <v>0</v>
      </c>
      <c r="S66" s="673">
        <f>R66*Y$59</f>
        <v>0</v>
      </c>
      <c r="T66" s="673">
        <v>0.60000000000000009</v>
      </c>
      <c r="U66" s="673">
        <f>IF(M66=0,0,R66)</f>
        <v>0</v>
      </c>
      <c r="V66" s="695">
        <f>IF(M66=0,0,S66)</f>
        <v>0</v>
      </c>
      <c r="W66" s="695">
        <f>IF(M66=0,0,T66)</f>
        <v>0</v>
      </c>
      <c r="X66" s="674"/>
      <c r="Y66" s="674"/>
      <c r="Z66" s="674"/>
      <c r="AA66" s="615"/>
    </row>
    <row r="67" spans="1:27" ht="14.25" hidden="1">
      <c r="A67" s="615"/>
      <c r="B67" s="674"/>
      <c r="C67" s="694"/>
      <c r="D67" s="694"/>
      <c r="E67" s="694"/>
      <c r="F67" s="694"/>
      <c r="G67" s="694"/>
      <c r="H67" s="694"/>
      <c r="I67" s="694"/>
      <c r="J67" s="694"/>
      <c r="K67" s="694">
        <f>G$5*M67</f>
        <v>0</v>
      </c>
      <c r="L67" s="694">
        <f>IF(AND($M$5&gt;=0.625,$M$5&lt;0.775),I$5,0)</f>
        <v>0</v>
      </c>
      <c r="M67" s="694">
        <f>IF(AND($M$5&gt;=0.625,$M$5&lt;0.775),J$5,0)</f>
        <v>0</v>
      </c>
      <c r="N67" s="694">
        <f>IF(AND($M$5&gt;=0.625,$M$5&lt;0.775),K$5,0)</f>
        <v>0</v>
      </c>
      <c r="O67" s="673">
        <f>IF(AND($M$5&gt;=0.625,$M$5&lt;0.775),L$5,0)</f>
        <v>0</v>
      </c>
      <c r="P67" s="674" t="s">
        <v>636</v>
      </c>
      <c r="Q67" s="673">
        <v>67</v>
      </c>
      <c r="R67" s="673">
        <f>D$5*0.87</f>
        <v>0</v>
      </c>
      <c r="S67" s="673">
        <f>R67*Y$60</f>
        <v>0</v>
      </c>
      <c r="T67" s="673">
        <v>0.65</v>
      </c>
      <c r="U67" s="673">
        <f>IF(M67=0,0,R67)</f>
        <v>0</v>
      </c>
      <c r="V67" s="695">
        <f>IF(M67=0,0,S67)</f>
        <v>0</v>
      </c>
      <c r="W67" s="695">
        <f>IF(M67=0,0,T67)</f>
        <v>0</v>
      </c>
      <c r="X67" s="674"/>
      <c r="Y67" s="674"/>
      <c r="Z67" s="674"/>
      <c r="AA67" s="615"/>
    </row>
    <row r="68" spans="1:27" ht="14.25" hidden="1">
      <c r="A68" s="615"/>
      <c r="B68" s="674"/>
      <c r="C68" s="694"/>
      <c r="D68" s="694"/>
      <c r="E68" s="694"/>
      <c r="F68" s="694"/>
      <c r="G68" s="694"/>
      <c r="H68" s="694"/>
      <c r="I68" s="694"/>
      <c r="J68" s="694"/>
      <c r="K68" s="694">
        <f>G$5*M68</f>
        <v>0</v>
      </c>
      <c r="L68" s="694">
        <f>IF($M$5&gt;=0.775,I$5,0)</f>
        <v>0</v>
      </c>
      <c r="M68" s="694">
        <f>IF($M$5&gt;=0.775,J$5,0)</f>
        <v>0</v>
      </c>
      <c r="N68" s="694">
        <f>IF($M$5&gt;=0.775,K$5,0)</f>
        <v>0</v>
      </c>
      <c r="O68" s="673">
        <f>IF($M$5&gt;=0.775,L$5,0)</f>
        <v>0</v>
      </c>
      <c r="P68" s="674" t="s">
        <v>638</v>
      </c>
      <c r="Q68" s="673">
        <v>68</v>
      </c>
      <c r="R68" s="673">
        <f>D$5*0.87</f>
        <v>0</v>
      </c>
      <c r="S68" s="673">
        <f>R68*Y$61</f>
        <v>0</v>
      </c>
      <c r="T68" s="673">
        <v>0.9</v>
      </c>
      <c r="U68" s="673">
        <f>IF(M68=0,0,R68)</f>
        <v>0</v>
      </c>
      <c r="V68" s="695">
        <f>IF(M68=0,0,S68)</f>
        <v>0</v>
      </c>
      <c r="W68" s="695">
        <f>IF(M68=0,0,T68)</f>
        <v>0</v>
      </c>
      <c r="X68" s="674"/>
      <c r="Y68" s="674"/>
      <c r="Z68" s="674"/>
      <c r="AA68" s="615"/>
    </row>
    <row r="69" spans="1:27" ht="14.25" hidden="1">
      <c r="A69" s="615"/>
      <c r="B69" s="674"/>
      <c r="C69" s="694"/>
      <c r="D69" s="694"/>
      <c r="E69" s="694"/>
      <c r="F69" s="694"/>
      <c r="G69" s="694"/>
      <c r="H69" s="694"/>
      <c r="I69" s="694"/>
      <c r="J69" s="694"/>
      <c r="K69" s="694"/>
      <c r="L69" s="694"/>
      <c r="M69" s="694"/>
      <c r="N69" s="694"/>
      <c r="O69" s="673"/>
      <c r="P69" s="674"/>
      <c r="Q69" s="673">
        <v>69</v>
      </c>
      <c r="R69" s="673"/>
      <c r="S69" s="673"/>
      <c r="T69" s="673" t="s">
        <v>644</v>
      </c>
      <c r="U69" s="673">
        <f>SUM(U64:U68)</f>
        <v>0</v>
      </c>
      <c r="V69" s="695">
        <f>SUM(V64:V68)</f>
        <v>0</v>
      </c>
      <c r="W69" s="695">
        <f>SUM(W64:W68)</f>
        <v>0</v>
      </c>
      <c r="X69" s="674"/>
      <c r="Y69" s="674"/>
      <c r="Z69" s="674"/>
      <c r="AA69" s="615"/>
    </row>
    <row r="70" spans="1:27" ht="21" hidden="1">
      <c r="A70" s="615"/>
      <c r="B70" s="674" t="s">
        <v>646</v>
      </c>
      <c r="C70" s="694">
        <f>C6*$G$6</f>
        <v>0</v>
      </c>
      <c r="D70" s="694">
        <f>$C70*D6</f>
        <v>0</v>
      </c>
      <c r="E70" s="694">
        <f>$C70*E6</f>
        <v>0</v>
      </c>
      <c r="F70" s="694">
        <f>$C70*F6</f>
        <v>0</v>
      </c>
      <c r="G70" s="694">
        <f>C6-C70</f>
        <v>0</v>
      </c>
      <c r="H70" s="694">
        <f>$G70*D6</f>
        <v>0</v>
      </c>
      <c r="I70" s="694">
        <f>$G70*E6</f>
        <v>0</v>
      </c>
      <c r="J70" s="694">
        <f>$G70*F6</f>
        <v>0</v>
      </c>
      <c r="K70" s="694">
        <f>G$6*M70</f>
        <v>0</v>
      </c>
      <c r="L70" s="694">
        <f>IF($M$6=0,I$6,0)</f>
        <v>0</v>
      </c>
      <c r="M70" s="694">
        <f>IF($M$6=0,J$6,0)</f>
        <v>0</v>
      </c>
      <c r="N70" s="694">
        <f>IF($M$6=0,K$6,0)</f>
        <v>0</v>
      </c>
      <c r="O70" s="673">
        <f>IF($M$6=0,L$6,0)</f>
        <v>0</v>
      </c>
      <c r="P70" s="674" t="s">
        <v>631</v>
      </c>
      <c r="Q70" s="673">
        <v>70</v>
      </c>
      <c r="R70" s="673">
        <f>D$6*0.87</f>
        <v>0</v>
      </c>
      <c r="S70" s="673">
        <f>R70*Y$60</f>
        <v>0</v>
      </c>
      <c r="T70" s="673">
        <v>0.65</v>
      </c>
      <c r="U70" s="673">
        <f>IF(M70=0,0,R70)</f>
        <v>0</v>
      </c>
      <c r="V70" s="695">
        <f>IF(M70=0,0,S70)</f>
        <v>0</v>
      </c>
      <c r="W70" s="695">
        <f>IF(M70=0,0,T70)</f>
        <v>0</v>
      </c>
      <c r="X70" s="674" t="s">
        <v>646</v>
      </c>
      <c r="Y70" s="674"/>
      <c r="Z70" s="674"/>
      <c r="AA70" s="615"/>
    </row>
    <row r="71" spans="1:27" ht="14.25" hidden="1">
      <c r="A71" s="615"/>
      <c r="B71" s="674"/>
      <c r="C71" s="694"/>
      <c r="D71" s="694"/>
      <c r="E71" s="694"/>
      <c r="F71" s="694"/>
      <c r="G71" s="694"/>
      <c r="H71" s="694"/>
      <c r="I71" s="694"/>
      <c r="J71" s="694"/>
      <c r="K71" s="694">
        <f>G$6*M71</f>
        <v>0</v>
      </c>
      <c r="L71" s="694">
        <f>IF($M$6=0,0,IF($M$6&lt;0.55,I$6,0))</f>
        <v>0</v>
      </c>
      <c r="M71" s="694">
        <f>IF($M$6=0,0,IF($M$6&lt;0.55,J$6,0))</f>
        <v>0</v>
      </c>
      <c r="N71" s="694">
        <f>IF($M$6=0,0,IF($M$6&lt;0.55,K$6,0))</f>
        <v>0</v>
      </c>
      <c r="O71" s="673">
        <f>IF($M$6=0,0,IF($M$6&lt;0.55,L$6,0))</f>
        <v>0</v>
      </c>
      <c r="P71" s="674" t="s">
        <v>632</v>
      </c>
      <c r="Q71" s="673">
        <v>71</v>
      </c>
      <c r="R71" s="673">
        <f>D$6*0.87</f>
        <v>0</v>
      </c>
      <c r="S71" s="673">
        <f>R71*Y$58</f>
        <v>0</v>
      </c>
      <c r="T71" s="673">
        <v>0.5</v>
      </c>
      <c r="U71" s="673">
        <f>IF(M71=0,0,R71)</f>
        <v>0</v>
      </c>
      <c r="V71" s="695">
        <f>IF(M71=0,0,S71)</f>
        <v>0</v>
      </c>
      <c r="W71" s="695">
        <f>IF(M71=0,0,T71)</f>
        <v>0</v>
      </c>
      <c r="X71" s="674"/>
      <c r="Y71" s="674"/>
      <c r="Z71" s="674"/>
      <c r="AA71" s="615"/>
    </row>
    <row r="72" spans="1:27" ht="14.25" hidden="1">
      <c r="A72" s="615"/>
      <c r="B72" s="674"/>
      <c r="C72" s="694"/>
      <c r="D72" s="694"/>
      <c r="E72" s="694"/>
      <c r="F72" s="694"/>
      <c r="G72" s="694"/>
      <c r="H72" s="694"/>
      <c r="I72" s="694"/>
      <c r="J72" s="694"/>
      <c r="K72" s="694">
        <f>G$6*M72</f>
        <v>0</v>
      </c>
      <c r="L72" s="694">
        <f>IF(AND($M$6&gt;=0.55,$M$6&lt;0.625),I$6,0)</f>
        <v>0</v>
      </c>
      <c r="M72" s="694">
        <f>IF(AND($M$6&gt;=0.55,$M$6&lt;0.625),J$6,0)</f>
        <v>0</v>
      </c>
      <c r="N72" s="694">
        <f>IF(AND($M$6&gt;=0.55,$M$6&lt;0.625),K$6,0)</f>
        <v>0</v>
      </c>
      <c r="O72" s="673">
        <f>IF(AND($M$6&gt;=0.55,$M$6&lt;0.625),L$6,0)</f>
        <v>0</v>
      </c>
      <c r="P72" s="674" t="s">
        <v>634</v>
      </c>
      <c r="Q72" s="673">
        <v>72</v>
      </c>
      <c r="R72" s="673">
        <f>D$6*0.87</f>
        <v>0</v>
      </c>
      <c r="S72" s="673">
        <f>R72*Y$59</f>
        <v>0</v>
      </c>
      <c r="T72" s="673">
        <v>0.60000000000000009</v>
      </c>
      <c r="U72" s="673">
        <f>IF(M72=0,0,R72)</f>
        <v>0</v>
      </c>
      <c r="V72" s="695">
        <f>IF(M72=0,0,S72)</f>
        <v>0</v>
      </c>
      <c r="W72" s="695">
        <f>IF(M72=0,0,T72)</f>
        <v>0</v>
      </c>
      <c r="X72" s="674"/>
      <c r="Y72" s="674"/>
      <c r="Z72" s="674"/>
      <c r="AA72" s="615"/>
    </row>
    <row r="73" spans="1:27" ht="14.25" hidden="1">
      <c r="A73" s="615"/>
      <c r="B73" s="674"/>
      <c r="C73" s="694"/>
      <c r="D73" s="694"/>
      <c r="E73" s="694"/>
      <c r="F73" s="694"/>
      <c r="G73" s="694"/>
      <c r="H73" s="694"/>
      <c r="I73" s="694"/>
      <c r="J73" s="694"/>
      <c r="K73" s="694">
        <f>G$6*M73</f>
        <v>0</v>
      </c>
      <c r="L73" s="694">
        <f>IF(AND($M$6&gt;=0.625,$M$6&lt;0.775),I$6,0)</f>
        <v>0</v>
      </c>
      <c r="M73" s="694">
        <f>IF(AND($M$6&gt;=0.625,$M$6&lt;0.775),J$6,0)</f>
        <v>0</v>
      </c>
      <c r="N73" s="694">
        <f>IF(AND($M$6&gt;=0.625,$M$6&lt;0.775),K$6,0)</f>
        <v>0</v>
      </c>
      <c r="O73" s="673">
        <f>IF(AND($M$6&gt;=0.625,$M$6&lt;0.775),L$6,0)</f>
        <v>0</v>
      </c>
      <c r="P73" s="674" t="s">
        <v>636</v>
      </c>
      <c r="Q73" s="673">
        <v>73</v>
      </c>
      <c r="R73" s="673">
        <f>D$6*0.87</f>
        <v>0</v>
      </c>
      <c r="S73" s="673">
        <f>R73*Y$60</f>
        <v>0</v>
      </c>
      <c r="T73" s="673">
        <v>0.65</v>
      </c>
      <c r="U73" s="673">
        <f>IF(M73=0,0,R73)</f>
        <v>0</v>
      </c>
      <c r="V73" s="695">
        <f>IF(M73=0,0,S73)</f>
        <v>0</v>
      </c>
      <c r="W73" s="695">
        <f>IF(M73=0,0,T73)</f>
        <v>0</v>
      </c>
      <c r="X73" s="674"/>
      <c r="Y73" s="674"/>
      <c r="Z73" s="674"/>
      <c r="AA73" s="615"/>
    </row>
    <row r="74" spans="1:27" ht="14.25" hidden="1">
      <c r="A74" s="615"/>
      <c r="B74" s="674"/>
      <c r="C74" s="694"/>
      <c r="D74" s="694"/>
      <c r="E74" s="694"/>
      <c r="F74" s="694"/>
      <c r="G74" s="694"/>
      <c r="H74" s="694"/>
      <c r="I74" s="694"/>
      <c r="J74" s="694"/>
      <c r="K74" s="694">
        <f>G$6*M74</f>
        <v>0</v>
      </c>
      <c r="L74" s="694">
        <f>IF($M$6&gt;=0.775,I$6,0)</f>
        <v>0</v>
      </c>
      <c r="M74" s="694">
        <f>IF($M$6&gt;=0.775,J$6,0)</f>
        <v>0</v>
      </c>
      <c r="N74" s="694">
        <f>IF($M$6&gt;=0.775,K$6,0)</f>
        <v>0</v>
      </c>
      <c r="O74" s="673">
        <f>IF($M$6&gt;=0.775,L$6,0)</f>
        <v>0</v>
      </c>
      <c r="P74" s="674" t="s">
        <v>638</v>
      </c>
      <c r="Q74" s="673">
        <v>74</v>
      </c>
      <c r="R74" s="673">
        <f>D$6*0.87</f>
        <v>0</v>
      </c>
      <c r="S74" s="673">
        <f>R74*Y$61</f>
        <v>0</v>
      </c>
      <c r="T74" s="673">
        <v>0.9</v>
      </c>
      <c r="U74" s="673">
        <f>IF(M74=0,0,R74)</f>
        <v>0</v>
      </c>
      <c r="V74" s="695">
        <f>IF(M74=0,0,S74)</f>
        <v>0</v>
      </c>
      <c r="W74" s="695">
        <f>IF(M74=0,0,T74)</f>
        <v>0</v>
      </c>
      <c r="X74" s="674"/>
      <c r="Y74" s="674"/>
      <c r="Z74" s="674"/>
      <c r="AA74" s="615"/>
    </row>
    <row r="75" spans="1:27" ht="14.25" hidden="1">
      <c r="A75" s="615"/>
      <c r="B75" s="674"/>
      <c r="C75" s="694"/>
      <c r="D75" s="694"/>
      <c r="E75" s="694"/>
      <c r="F75" s="694"/>
      <c r="G75" s="694"/>
      <c r="H75" s="694"/>
      <c r="I75" s="694"/>
      <c r="J75" s="694"/>
      <c r="K75" s="694"/>
      <c r="L75" s="694"/>
      <c r="M75" s="694"/>
      <c r="N75" s="694"/>
      <c r="O75" s="673"/>
      <c r="P75" s="674"/>
      <c r="Q75" s="673">
        <v>75</v>
      </c>
      <c r="R75" s="673"/>
      <c r="S75" s="673"/>
      <c r="T75" s="673" t="s">
        <v>646</v>
      </c>
      <c r="U75" s="673">
        <f>SUM(U70:U74)</f>
        <v>0</v>
      </c>
      <c r="V75" s="695">
        <f>SUM(V70:V74)</f>
        <v>0</v>
      </c>
      <c r="W75" s="695">
        <f>SUM(W70:W74)</f>
        <v>0</v>
      </c>
      <c r="X75" s="674"/>
      <c r="Y75" s="674"/>
      <c r="Z75" s="674"/>
      <c r="AA75" s="615"/>
    </row>
    <row r="76" spans="1:27" ht="21" hidden="1">
      <c r="A76" s="615"/>
      <c r="B76" s="674" t="s">
        <v>647</v>
      </c>
      <c r="C76" s="694">
        <f>C7*$G$7</f>
        <v>0</v>
      </c>
      <c r="D76" s="694">
        <f>$C76*D7</f>
        <v>0</v>
      </c>
      <c r="E76" s="694">
        <f>$C76*E7</f>
        <v>0</v>
      </c>
      <c r="F76" s="694">
        <f>$C76*F7</f>
        <v>0</v>
      </c>
      <c r="G76" s="694">
        <f>C7-C76</f>
        <v>0</v>
      </c>
      <c r="H76" s="694">
        <f>$G76*D7</f>
        <v>0</v>
      </c>
      <c r="I76" s="694">
        <f>$G76*E7</f>
        <v>0</v>
      </c>
      <c r="J76" s="694">
        <f>$G76*F7</f>
        <v>0</v>
      </c>
      <c r="K76" s="694">
        <f>G$7*M76</f>
        <v>0</v>
      </c>
      <c r="L76" s="694">
        <f>IF($M$7=0,I$7,0)</f>
        <v>0</v>
      </c>
      <c r="M76" s="694">
        <f>IF($M$7=0,J$7,0)</f>
        <v>0</v>
      </c>
      <c r="N76" s="694">
        <f>IF($M$7=0,K$7,0)</f>
        <v>0</v>
      </c>
      <c r="O76" s="673">
        <f>IF($M$7=0,L$7,0)</f>
        <v>0</v>
      </c>
      <c r="P76" s="674" t="s">
        <v>631</v>
      </c>
      <c r="Q76" s="673">
        <v>76</v>
      </c>
      <c r="R76" s="673">
        <f>D$7*0.87</f>
        <v>0</v>
      </c>
      <c r="S76" s="673">
        <f>R76*Y$60</f>
        <v>0</v>
      </c>
      <c r="T76" s="673">
        <v>0.65</v>
      </c>
      <c r="U76" s="673">
        <f>IF(M76=0,0,R76)</f>
        <v>0</v>
      </c>
      <c r="V76" s="695">
        <f>IF(M76=0,0,S76)</f>
        <v>0</v>
      </c>
      <c r="W76" s="695">
        <f>IF(M76=0,0,T76)</f>
        <v>0</v>
      </c>
      <c r="X76" s="674" t="s">
        <v>647</v>
      </c>
      <c r="Y76" s="674"/>
      <c r="Z76" s="674"/>
      <c r="AA76" s="615"/>
    </row>
    <row r="77" spans="1:27" ht="14.25" hidden="1">
      <c r="A77" s="615"/>
      <c r="B77" s="674"/>
      <c r="C77" s="694"/>
      <c r="D77" s="694"/>
      <c r="E77" s="694"/>
      <c r="F77" s="694"/>
      <c r="G77" s="694"/>
      <c r="H77" s="694"/>
      <c r="I77" s="694"/>
      <c r="J77" s="694"/>
      <c r="K77" s="694">
        <f>G$7*M77</f>
        <v>0</v>
      </c>
      <c r="L77" s="694">
        <f>IF($M$7=0,0,IF($M$7&lt;0.55,I$7,0))</f>
        <v>0</v>
      </c>
      <c r="M77" s="694">
        <f>IF($M$7=0,0,IF($M$7&lt;0.55,J$7,0))</f>
        <v>0</v>
      </c>
      <c r="N77" s="694">
        <f>IF($M$7=0,0,IF($M$7&lt;0.55,K$7,0))</f>
        <v>0</v>
      </c>
      <c r="O77" s="673">
        <f>IF($M$7=0,0,IF($M$7&lt;0.55,L$7,0))</f>
        <v>0</v>
      </c>
      <c r="P77" s="674" t="s">
        <v>632</v>
      </c>
      <c r="Q77" s="673">
        <v>77</v>
      </c>
      <c r="R77" s="673">
        <f>D$7*0.87</f>
        <v>0</v>
      </c>
      <c r="S77" s="673">
        <f>R77*Y$58</f>
        <v>0</v>
      </c>
      <c r="T77" s="673">
        <v>0.5</v>
      </c>
      <c r="U77" s="673">
        <f>IF(M77=0,0,R77)</f>
        <v>0</v>
      </c>
      <c r="V77" s="695">
        <f>IF(M77=0,0,S77)</f>
        <v>0</v>
      </c>
      <c r="W77" s="695">
        <f>IF(M77=0,0,T77)</f>
        <v>0</v>
      </c>
      <c r="X77" s="674"/>
      <c r="Y77" s="674"/>
      <c r="Z77" s="674"/>
      <c r="AA77" s="615"/>
    </row>
    <row r="78" spans="1:27" ht="14.25" hidden="1">
      <c r="A78" s="615"/>
      <c r="B78" s="674"/>
      <c r="C78" s="694"/>
      <c r="D78" s="694"/>
      <c r="E78" s="694"/>
      <c r="F78" s="694"/>
      <c r="G78" s="694"/>
      <c r="H78" s="694"/>
      <c r="I78" s="694"/>
      <c r="J78" s="694"/>
      <c r="K78" s="694">
        <f>G$7*M78</f>
        <v>0</v>
      </c>
      <c r="L78" s="694">
        <f>IF(AND($M$7&gt;=0.55,$M$7&lt;0.625),I$7,0)</f>
        <v>0</v>
      </c>
      <c r="M78" s="694">
        <f>IF(AND($M$7&gt;=0.55,$M$7&lt;0.625),J$7,0)</f>
        <v>0</v>
      </c>
      <c r="N78" s="694">
        <f>IF(AND($M$7&gt;=0.55,$M$7&lt;0.625),K$7,0)</f>
        <v>0</v>
      </c>
      <c r="O78" s="673">
        <f>IF(AND($M$7&gt;=0.55,$M$7&lt;0.625),L$7,0)</f>
        <v>0</v>
      </c>
      <c r="P78" s="674" t="s">
        <v>634</v>
      </c>
      <c r="Q78" s="673">
        <v>78</v>
      </c>
      <c r="R78" s="673">
        <f>D$7*0.87</f>
        <v>0</v>
      </c>
      <c r="S78" s="673">
        <f>R78*Y$59</f>
        <v>0</v>
      </c>
      <c r="T78" s="673">
        <v>0.60000000000000009</v>
      </c>
      <c r="U78" s="673">
        <f>IF(M78=0,0,R78)</f>
        <v>0</v>
      </c>
      <c r="V78" s="695">
        <f>IF(M78=0,0,S78)</f>
        <v>0</v>
      </c>
      <c r="W78" s="695">
        <f>IF(M78=0,0,T78)</f>
        <v>0</v>
      </c>
      <c r="X78" s="674"/>
      <c r="Y78" s="674"/>
      <c r="Z78" s="674"/>
      <c r="AA78" s="615"/>
    </row>
    <row r="79" spans="1:27" ht="14.25" hidden="1">
      <c r="A79" s="615"/>
      <c r="B79" s="674"/>
      <c r="C79" s="694"/>
      <c r="D79" s="694"/>
      <c r="E79" s="694"/>
      <c r="F79" s="694"/>
      <c r="G79" s="694"/>
      <c r="H79" s="694"/>
      <c r="I79" s="694"/>
      <c r="J79" s="694"/>
      <c r="K79" s="694">
        <f>G$7*M79</f>
        <v>0</v>
      </c>
      <c r="L79" s="694">
        <f>IF(AND($M$7&gt;=0.625,$M$7&lt;0.775),I$7,0)</f>
        <v>0</v>
      </c>
      <c r="M79" s="694">
        <f>IF(AND($M$7&gt;=0.625,$M$7&lt;0.775),J$7,0)</f>
        <v>0</v>
      </c>
      <c r="N79" s="694">
        <f>IF(AND($M$7&gt;=0.625,$M$7&lt;0.775),K$7,0)</f>
        <v>0</v>
      </c>
      <c r="O79" s="673">
        <f>IF(AND($M$7&gt;=0.625,$M$7&lt;0.775),L$7,0)</f>
        <v>0</v>
      </c>
      <c r="P79" s="674" t="s">
        <v>636</v>
      </c>
      <c r="Q79" s="673">
        <v>79</v>
      </c>
      <c r="R79" s="673">
        <f>D$7*0.87</f>
        <v>0</v>
      </c>
      <c r="S79" s="673">
        <f>R79*Y$60</f>
        <v>0</v>
      </c>
      <c r="T79" s="673">
        <v>0.65</v>
      </c>
      <c r="U79" s="673">
        <f>IF(M79=0,0,R79)</f>
        <v>0</v>
      </c>
      <c r="V79" s="695">
        <f>IF(M79=0,0,S79)</f>
        <v>0</v>
      </c>
      <c r="W79" s="695">
        <f>IF(M79=0,0,T79)</f>
        <v>0</v>
      </c>
      <c r="X79" s="674"/>
      <c r="Y79" s="674"/>
      <c r="Z79" s="674"/>
      <c r="AA79" s="615"/>
    </row>
    <row r="80" spans="1:27" ht="14.25" hidden="1">
      <c r="A80" s="615"/>
      <c r="B80" s="674"/>
      <c r="C80" s="694"/>
      <c r="D80" s="694"/>
      <c r="E80" s="694"/>
      <c r="F80" s="694"/>
      <c r="G80" s="694"/>
      <c r="H80" s="694"/>
      <c r="I80" s="694"/>
      <c r="J80" s="694"/>
      <c r="K80" s="694">
        <f>G$7*M80</f>
        <v>0</v>
      </c>
      <c r="L80" s="694">
        <f>IF($M$7&gt;=0.775,I$7,0)</f>
        <v>0</v>
      </c>
      <c r="M80" s="694">
        <f>IF($M$7&gt;=0.775,J$7,0)</f>
        <v>0</v>
      </c>
      <c r="N80" s="694">
        <f>IF($M$7&gt;=0.775,K$7,0)</f>
        <v>0</v>
      </c>
      <c r="O80" s="673">
        <f>IF($M$7&gt;=0.775,L$7,0)</f>
        <v>0</v>
      </c>
      <c r="P80" s="674" t="s">
        <v>638</v>
      </c>
      <c r="Q80" s="673">
        <v>80</v>
      </c>
      <c r="R80" s="673">
        <f>D$7*0.87</f>
        <v>0</v>
      </c>
      <c r="S80" s="673">
        <f>R80*Y$61</f>
        <v>0</v>
      </c>
      <c r="T80" s="673">
        <v>0.9</v>
      </c>
      <c r="U80" s="673">
        <f>IF(M80=0,0,R80)</f>
        <v>0</v>
      </c>
      <c r="V80" s="695">
        <f>IF(M80=0,0,S80)</f>
        <v>0</v>
      </c>
      <c r="W80" s="695">
        <f>IF(M80=0,0,T80)</f>
        <v>0</v>
      </c>
      <c r="X80" s="674"/>
      <c r="Y80" s="674"/>
      <c r="Z80" s="674"/>
      <c r="AA80" s="615"/>
    </row>
    <row r="81" spans="1:27" ht="14.25" hidden="1">
      <c r="A81" s="615"/>
      <c r="B81" s="674"/>
      <c r="C81" s="694"/>
      <c r="D81" s="694"/>
      <c r="E81" s="694"/>
      <c r="F81" s="694"/>
      <c r="G81" s="694"/>
      <c r="H81" s="694"/>
      <c r="I81" s="694"/>
      <c r="J81" s="694"/>
      <c r="K81" s="694"/>
      <c r="L81" s="694"/>
      <c r="M81" s="694"/>
      <c r="N81" s="694"/>
      <c r="O81" s="673"/>
      <c r="P81" s="674"/>
      <c r="Q81" s="673">
        <v>81</v>
      </c>
      <c r="R81" s="673"/>
      <c r="S81" s="673"/>
      <c r="T81" s="673" t="s">
        <v>647</v>
      </c>
      <c r="U81" s="673">
        <f>SUM(U76:U80)</f>
        <v>0</v>
      </c>
      <c r="V81" s="695">
        <f>SUM(V76:V80)</f>
        <v>0</v>
      </c>
      <c r="W81" s="695">
        <f>SUM(W76:W80)</f>
        <v>0</v>
      </c>
      <c r="X81" s="674"/>
      <c r="Y81" s="674"/>
      <c r="Z81" s="674"/>
      <c r="AA81" s="615"/>
    </row>
    <row r="82" spans="1:27" ht="21" hidden="1">
      <c r="A82" s="615"/>
      <c r="B82" s="674" t="s">
        <v>648</v>
      </c>
      <c r="C82" s="694">
        <f>C9*$G$9</f>
        <v>0</v>
      </c>
      <c r="D82" s="694">
        <f>$C82*D9</f>
        <v>0</v>
      </c>
      <c r="E82" s="694">
        <f>$C82*E9</f>
        <v>0</v>
      </c>
      <c r="F82" s="694">
        <f>$C82*F9</f>
        <v>0</v>
      </c>
      <c r="G82" s="694">
        <f>C9-C82</f>
        <v>0</v>
      </c>
      <c r="H82" s="694">
        <f>$G82*D9</f>
        <v>0</v>
      </c>
      <c r="I82" s="694">
        <f>$G82*E9</f>
        <v>0</v>
      </c>
      <c r="J82" s="694">
        <f>$G82*F9</f>
        <v>0</v>
      </c>
      <c r="K82" s="694">
        <f>G$9*M82</f>
        <v>0</v>
      </c>
      <c r="L82" s="694">
        <f>IF($H$9=0,I$9,0)</f>
        <v>0</v>
      </c>
      <c r="M82" s="694">
        <f>IF($H$9=0,J$9,0)</f>
        <v>0</v>
      </c>
      <c r="N82" s="694">
        <f>IF($H$9=0,K$9,0)</f>
        <v>0</v>
      </c>
      <c r="O82" s="673">
        <f>IF($H$9=0,L$9,0)</f>
        <v>0</v>
      </c>
      <c r="P82" s="674" t="s">
        <v>649</v>
      </c>
      <c r="Q82" s="673">
        <v>82</v>
      </c>
      <c r="R82" s="673">
        <f>D9*0.87</f>
        <v>0</v>
      </c>
      <c r="S82" s="673">
        <f>R82*Y$58</f>
        <v>0</v>
      </c>
      <c r="T82" s="673">
        <v>0.5</v>
      </c>
      <c r="U82" s="673">
        <f>IF(M82=0,0,R82)</f>
        <v>0</v>
      </c>
      <c r="V82" s="695">
        <f>IF(M82=0,0,S82)</f>
        <v>0</v>
      </c>
      <c r="W82" s="695">
        <f>IF(M82=0,0,T82)</f>
        <v>0</v>
      </c>
      <c r="X82" s="674" t="s">
        <v>648</v>
      </c>
      <c r="Y82" s="674"/>
      <c r="Z82" s="674"/>
      <c r="AA82" s="615"/>
    </row>
    <row r="83" spans="1:27" ht="14.25" hidden="1">
      <c r="A83" s="615"/>
      <c r="B83" s="674"/>
      <c r="C83" s="694"/>
      <c r="D83" s="694"/>
      <c r="E83" s="694"/>
      <c r="F83" s="694"/>
      <c r="G83" s="694"/>
      <c r="H83" s="694"/>
      <c r="I83" s="694"/>
      <c r="J83" s="694"/>
      <c r="K83" s="694">
        <f>G$9*M83</f>
        <v>0</v>
      </c>
      <c r="L83" s="694">
        <f>IF($M$9&gt;=0.325,I$9,0)</f>
        <v>0</v>
      </c>
      <c r="M83" s="694">
        <f>IF($M$9&gt;=0.325,J$9,0)</f>
        <v>0</v>
      </c>
      <c r="N83" s="694">
        <f>IF($M$9&gt;=0.325,K$9,0)</f>
        <v>0</v>
      </c>
      <c r="O83" s="673">
        <f>IF($M$9&gt;=0.325,L$9,0)</f>
        <v>0</v>
      </c>
      <c r="P83" s="674" t="s">
        <v>632</v>
      </c>
      <c r="Q83" s="673">
        <v>83</v>
      </c>
      <c r="R83" s="673">
        <f>D9*0.87</f>
        <v>0</v>
      </c>
      <c r="S83" s="673">
        <f>R83*Y$58</f>
        <v>0</v>
      </c>
      <c r="T83" s="673">
        <v>0.5</v>
      </c>
      <c r="U83" s="673">
        <f>IF(M83=0,0,R83)</f>
        <v>0</v>
      </c>
      <c r="V83" s="695">
        <f>IF(M83=0,0,S83)</f>
        <v>0</v>
      </c>
      <c r="W83" s="695">
        <f>IF(M83=0,0,T83)</f>
        <v>0</v>
      </c>
      <c r="X83" s="674"/>
      <c r="Y83" s="674"/>
      <c r="Z83" s="674"/>
      <c r="AA83" s="615"/>
    </row>
    <row r="84" spans="1:27" ht="14.25" hidden="1">
      <c r="A84" s="615"/>
      <c r="B84" s="674"/>
      <c r="C84" s="694"/>
      <c r="D84" s="694"/>
      <c r="E84" s="694"/>
      <c r="F84" s="694"/>
      <c r="G84" s="694"/>
      <c r="H84" s="694"/>
      <c r="I84" s="694"/>
      <c r="J84" s="694"/>
      <c r="K84" s="694">
        <f>G$9*M84</f>
        <v>0</v>
      </c>
      <c r="L84" s="694">
        <f>IF($M$9=0,0,IF($M$9&lt;0.325,I$9,0))</f>
        <v>0</v>
      </c>
      <c r="M84" s="694">
        <f>IF($M$9=0,0,IF($M$9&lt;0.325,J$9,0))</f>
        <v>0</v>
      </c>
      <c r="N84" s="694">
        <f>IF($M$9=0,0,IF($M$9&lt;0.325,K$9,0))</f>
        <v>0</v>
      </c>
      <c r="O84" s="673">
        <f>IF($M$9=0,0,IF($M$9&lt;0.325,L$9,0))</f>
        <v>0</v>
      </c>
      <c r="P84" s="674" t="s">
        <v>640</v>
      </c>
      <c r="Q84" s="673">
        <v>84</v>
      </c>
      <c r="R84" s="673">
        <f>D9*0.91</f>
        <v>0</v>
      </c>
      <c r="S84" s="673">
        <f>R84*Y$62</f>
        <v>0</v>
      </c>
      <c r="T84" s="673">
        <v>0.15</v>
      </c>
      <c r="U84" s="673">
        <f>IF(M84=0,0,R84)</f>
        <v>0</v>
      </c>
      <c r="V84" s="695">
        <f>IF(M84=0,0,S84)</f>
        <v>0</v>
      </c>
      <c r="W84" s="695">
        <f>IF(M84=0,0,T84)</f>
        <v>0</v>
      </c>
      <c r="X84" s="674"/>
      <c r="Y84" s="674"/>
      <c r="Z84" s="674"/>
      <c r="AA84" s="615"/>
    </row>
    <row r="85" spans="1:27" ht="14.25" hidden="1">
      <c r="A85" s="615"/>
      <c r="B85" s="674"/>
      <c r="C85" s="694"/>
      <c r="D85" s="694"/>
      <c r="E85" s="694"/>
      <c r="F85" s="694"/>
      <c r="G85" s="694"/>
      <c r="H85" s="694"/>
      <c r="I85" s="694"/>
      <c r="J85" s="694"/>
      <c r="K85" s="694"/>
      <c r="L85" s="694"/>
      <c r="M85" s="694"/>
      <c r="N85" s="694"/>
      <c r="O85" s="673"/>
      <c r="P85" s="674"/>
      <c r="Q85" s="673">
        <v>85</v>
      </c>
      <c r="R85" s="673"/>
      <c r="S85" s="673"/>
      <c r="T85" s="673" t="s">
        <v>648</v>
      </c>
      <c r="U85" s="673">
        <f>SUM(U82:U84)</f>
        <v>0</v>
      </c>
      <c r="V85" s="695">
        <f>SUM(V82:V84)</f>
        <v>0</v>
      </c>
      <c r="W85" s="695">
        <f>SUM(W82:W84)</f>
        <v>0</v>
      </c>
      <c r="X85" s="674"/>
      <c r="Y85" s="674"/>
      <c r="Z85" s="674"/>
      <c r="AA85" s="615"/>
    </row>
    <row r="86" spans="1:27" ht="21" hidden="1">
      <c r="A86" s="615"/>
      <c r="B86" s="674" t="s">
        <v>650</v>
      </c>
      <c r="C86" s="694">
        <f>C10*$G$9</f>
        <v>0</v>
      </c>
      <c r="D86" s="694">
        <f>$C86*D10</f>
        <v>0</v>
      </c>
      <c r="E86" s="694">
        <f>$C86*E10</f>
        <v>0</v>
      </c>
      <c r="F86" s="694">
        <f>$C86*F10</f>
        <v>0</v>
      </c>
      <c r="G86" s="694">
        <f>C10-C86</f>
        <v>0</v>
      </c>
      <c r="H86" s="694">
        <f>$G86*D10</f>
        <v>0</v>
      </c>
      <c r="I86" s="694">
        <f>$G86*E10</f>
        <v>0</v>
      </c>
      <c r="J86" s="694">
        <f>$G86*F10</f>
        <v>0</v>
      </c>
      <c r="K86" s="694">
        <f>G$10*M86</f>
        <v>0</v>
      </c>
      <c r="L86" s="694">
        <f>IF($H$10=0,I$10,0)</f>
        <v>0</v>
      </c>
      <c r="M86" s="694">
        <f>IF($H$10=0,J$10,0)</f>
        <v>0</v>
      </c>
      <c r="N86" s="694">
        <f>IF($H$10=0,K$10,0)</f>
        <v>0</v>
      </c>
      <c r="O86" s="673">
        <f>IF($H$10=0,L$10,0)</f>
        <v>0</v>
      </c>
      <c r="P86" s="674" t="s">
        <v>649</v>
      </c>
      <c r="Q86" s="673">
        <v>86</v>
      </c>
      <c r="R86" s="673">
        <f>D10*0.87</f>
        <v>0</v>
      </c>
      <c r="S86" s="673">
        <f>R86*Y$58</f>
        <v>0</v>
      </c>
      <c r="T86" s="673">
        <v>0.5</v>
      </c>
      <c r="U86" s="673">
        <f>IF(M86=0,0,R86)</f>
        <v>0</v>
      </c>
      <c r="V86" s="695">
        <f>IF(M86=0,0,S86)</f>
        <v>0</v>
      </c>
      <c r="W86" s="695">
        <f>IF(M86=0,0,T86)</f>
        <v>0</v>
      </c>
      <c r="X86" s="674" t="s">
        <v>650</v>
      </c>
      <c r="Y86" s="674"/>
      <c r="Z86" s="674"/>
      <c r="AA86" s="615"/>
    </row>
    <row r="87" spans="1:27" ht="14.25" hidden="1">
      <c r="A87" s="615"/>
      <c r="B87" s="674"/>
      <c r="C87" s="694"/>
      <c r="D87" s="694"/>
      <c r="E87" s="694"/>
      <c r="F87" s="694"/>
      <c r="G87" s="694"/>
      <c r="H87" s="694"/>
      <c r="I87" s="694"/>
      <c r="J87" s="694"/>
      <c r="K87" s="694">
        <f>G$10*M87</f>
        <v>0</v>
      </c>
      <c r="L87" s="694">
        <f>IF($M$10&gt;=0.325,I$10,0)</f>
        <v>0</v>
      </c>
      <c r="M87" s="694">
        <f>IF($M$10&gt;=0.325,J$10,0)</f>
        <v>0</v>
      </c>
      <c r="N87" s="694">
        <f>IF($M$10&gt;=0.325,K$10,0)</f>
        <v>0</v>
      </c>
      <c r="O87" s="673">
        <f>IF($M$10&gt;=0.325,L$10,0)</f>
        <v>0</v>
      </c>
      <c r="P87" s="674" t="s">
        <v>632</v>
      </c>
      <c r="Q87" s="673">
        <v>87</v>
      </c>
      <c r="R87" s="673">
        <f>D10*0.87</f>
        <v>0</v>
      </c>
      <c r="S87" s="673">
        <f>R87*Y$58</f>
        <v>0</v>
      </c>
      <c r="T87" s="673">
        <v>0.5</v>
      </c>
      <c r="U87" s="673">
        <f>IF(M87=0,0,R87)</f>
        <v>0</v>
      </c>
      <c r="V87" s="695">
        <f>IF(M87=0,0,S87)</f>
        <v>0</v>
      </c>
      <c r="W87" s="695">
        <f>IF(M87=0,0,T87)</f>
        <v>0</v>
      </c>
      <c r="X87" s="674"/>
      <c r="Y87" s="674"/>
      <c r="Z87" s="674"/>
      <c r="AA87" s="615"/>
    </row>
    <row r="88" spans="1:27" ht="14.25" hidden="1">
      <c r="A88" s="615"/>
      <c r="B88" s="674"/>
      <c r="C88" s="694"/>
      <c r="D88" s="694"/>
      <c r="E88" s="694"/>
      <c r="F88" s="694"/>
      <c r="G88" s="694"/>
      <c r="H88" s="694"/>
      <c r="I88" s="694"/>
      <c r="J88" s="694"/>
      <c r="K88" s="694">
        <f>G$10*M88</f>
        <v>0</v>
      </c>
      <c r="L88" s="694">
        <f>IF($M$10=0,0,IF($M$10&lt;0.325,I$10,0))</f>
        <v>0</v>
      </c>
      <c r="M88" s="694">
        <f>IF($M$10=0,0,IF($M$10&lt;0.325,J$10,0))</f>
        <v>0</v>
      </c>
      <c r="N88" s="694">
        <f>IF($M$10=0,0,IF($M$10&lt;0.325,K$10,0))</f>
        <v>0</v>
      </c>
      <c r="O88" s="673">
        <f>IF($M$10=0,0,IF($M$10&lt;0.325,L$10,0))</f>
        <v>0</v>
      </c>
      <c r="P88" s="674" t="s">
        <v>640</v>
      </c>
      <c r="Q88" s="673">
        <v>88</v>
      </c>
      <c r="R88" s="673">
        <f>D10*0.91</f>
        <v>0</v>
      </c>
      <c r="S88" s="673">
        <f>R88*Y$62</f>
        <v>0</v>
      </c>
      <c r="T88" s="673">
        <v>0.15</v>
      </c>
      <c r="U88" s="673">
        <f>IF(M88=0,0,R88)</f>
        <v>0</v>
      </c>
      <c r="V88" s="695">
        <f>IF(M88=0,0,S88)</f>
        <v>0</v>
      </c>
      <c r="W88" s="695">
        <f>IF(M88=0,0,T88)</f>
        <v>0</v>
      </c>
      <c r="X88" s="674"/>
      <c r="Y88" s="674"/>
      <c r="Z88" s="674"/>
      <c r="AA88" s="615"/>
    </row>
    <row r="89" spans="1:27" ht="14.25" hidden="1">
      <c r="A89" s="615"/>
      <c r="B89" s="674"/>
      <c r="C89" s="694"/>
      <c r="D89" s="694"/>
      <c r="E89" s="694"/>
      <c r="F89" s="694"/>
      <c r="G89" s="694"/>
      <c r="H89" s="694"/>
      <c r="I89" s="694"/>
      <c r="J89" s="694"/>
      <c r="K89" s="694"/>
      <c r="L89" s="694"/>
      <c r="M89" s="694"/>
      <c r="N89" s="694"/>
      <c r="O89" s="673"/>
      <c r="P89" s="674"/>
      <c r="Q89" s="673">
        <v>89</v>
      </c>
      <c r="R89" s="673"/>
      <c r="S89" s="673"/>
      <c r="T89" s="673" t="s">
        <v>650</v>
      </c>
      <c r="U89" s="673">
        <f>SUM(U86:U88)</f>
        <v>0</v>
      </c>
      <c r="V89" s="695">
        <f>SUM(V86:V88)</f>
        <v>0</v>
      </c>
      <c r="W89" s="695">
        <f>SUM(W86:W88)</f>
        <v>0</v>
      </c>
      <c r="X89" s="674"/>
      <c r="Y89" s="674"/>
      <c r="Z89" s="674"/>
      <c r="AA89" s="615"/>
    </row>
    <row r="90" spans="1:27" ht="21" hidden="1">
      <c r="A90" s="615"/>
      <c r="B90" s="674" t="s">
        <v>651</v>
      </c>
      <c r="C90" s="694">
        <f>C11*$G$9</f>
        <v>0</v>
      </c>
      <c r="D90" s="694">
        <f>$C90*D11</f>
        <v>0</v>
      </c>
      <c r="E90" s="694">
        <f>$C90*E11</f>
        <v>0</v>
      </c>
      <c r="F90" s="694">
        <f>$C90*F11</f>
        <v>0</v>
      </c>
      <c r="G90" s="694">
        <f>C11-C90</f>
        <v>0</v>
      </c>
      <c r="H90" s="694">
        <f>$G90*D11</f>
        <v>0</v>
      </c>
      <c r="I90" s="694">
        <f>$G90*E11</f>
        <v>0</v>
      </c>
      <c r="J90" s="694">
        <f>$G90*F11</f>
        <v>0</v>
      </c>
      <c r="K90" s="694">
        <f>G$11*M90</f>
        <v>0</v>
      </c>
      <c r="L90" s="694">
        <f>IF($H$11=0,I$11,0)</f>
        <v>0</v>
      </c>
      <c r="M90" s="694">
        <f>IF($H$11=0,J$11,0)</f>
        <v>0</v>
      </c>
      <c r="N90" s="694">
        <f>IF($H$11=0,K$11,0)</f>
        <v>0</v>
      </c>
      <c r="O90" s="673">
        <f>IF($H$11=0,L$11,0)</f>
        <v>0</v>
      </c>
      <c r="P90" s="674" t="s">
        <v>649</v>
      </c>
      <c r="Q90" s="673">
        <v>90</v>
      </c>
      <c r="R90" s="673">
        <f>D11*0.87</f>
        <v>0</v>
      </c>
      <c r="S90" s="673">
        <f>R90*Y$58</f>
        <v>0</v>
      </c>
      <c r="T90" s="673">
        <v>0.5</v>
      </c>
      <c r="U90" s="673">
        <f>IF(M90=0,0,R90)</f>
        <v>0</v>
      </c>
      <c r="V90" s="695">
        <f>IF(M90=0,0,S90)</f>
        <v>0</v>
      </c>
      <c r="W90" s="695">
        <f>IF(M90=0,0,T90)</f>
        <v>0</v>
      </c>
      <c r="X90" s="674" t="s">
        <v>651</v>
      </c>
      <c r="Y90" s="674"/>
      <c r="Z90" s="674"/>
      <c r="AA90" s="615"/>
    </row>
    <row r="91" spans="1:27" ht="14.25" hidden="1">
      <c r="A91" s="615"/>
      <c r="B91" s="674"/>
      <c r="C91" s="694"/>
      <c r="D91" s="694"/>
      <c r="E91" s="694"/>
      <c r="F91" s="694"/>
      <c r="G91" s="694"/>
      <c r="H91" s="694"/>
      <c r="I91" s="694"/>
      <c r="J91" s="694"/>
      <c r="K91" s="694">
        <f>G$11*M91</f>
        <v>0</v>
      </c>
      <c r="L91" s="694">
        <f>IF($M$11&gt;=0.325,I$11,0)</f>
        <v>0</v>
      </c>
      <c r="M91" s="694">
        <f>IF($M$11&gt;=0.325,J$11,0)</f>
        <v>0</v>
      </c>
      <c r="N91" s="694">
        <f>IF($M$11&gt;=0.325,K$11,0)</f>
        <v>0</v>
      </c>
      <c r="O91" s="673">
        <f>IF($M$11&gt;=0.325,L$11,0)</f>
        <v>0</v>
      </c>
      <c r="P91" s="674" t="s">
        <v>632</v>
      </c>
      <c r="Q91" s="673">
        <v>91</v>
      </c>
      <c r="R91" s="673">
        <f>D11*0.87</f>
        <v>0</v>
      </c>
      <c r="S91" s="673">
        <f>R91*Y$58</f>
        <v>0</v>
      </c>
      <c r="T91" s="673">
        <v>0.5</v>
      </c>
      <c r="U91" s="673">
        <f>IF(M91=0,0,R91)</f>
        <v>0</v>
      </c>
      <c r="V91" s="695">
        <f>IF(O91=0,0,S91)</f>
        <v>0</v>
      </c>
      <c r="W91" s="695">
        <f>IF(O91=0,0,T91)</f>
        <v>0</v>
      </c>
      <c r="X91" s="674"/>
      <c r="Y91" s="674"/>
      <c r="Z91" s="674"/>
      <c r="AA91" s="615"/>
    </row>
    <row r="92" spans="1:27" ht="14.25" hidden="1">
      <c r="A92" s="615"/>
      <c r="B92" s="674"/>
      <c r="C92" s="694"/>
      <c r="D92" s="694"/>
      <c r="E92" s="694"/>
      <c r="F92" s="694"/>
      <c r="G92" s="694"/>
      <c r="H92" s="694"/>
      <c r="I92" s="694"/>
      <c r="J92" s="694"/>
      <c r="K92" s="694">
        <f>G$11*M92</f>
        <v>0</v>
      </c>
      <c r="L92" s="694">
        <f>IF($M$11=0,0,IF($M$11&lt;0.325,I$11,0))</f>
        <v>0</v>
      </c>
      <c r="M92" s="694">
        <f>IF($M$11=0,0,IF($M$11&lt;0.325,J$11,0))</f>
        <v>0</v>
      </c>
      <c r="N92" s="694">
        <f>IF($M$11=0,0,IF($M$11&lt;0.325,K$11,0))</f>
        <v>0</v>
      </c>
      <c r="O92" s="673">
        <f>IF($M$11=0,0,IF($M$11&lt;0.325,L$11,0))</f>
        <v>0</v>
      </c>
      <c r="P92" s="674" t="s">
        <v>640</v>
      </c>
      <c r="Q92" s="673">
        <v>92</v>
      </c>
      <c r="R92" s="673">
        <f>D11*0.91</f>
        <v>0</v>
      </c>
      <c r="S92" s="673">
        <f>R92*Y$62</f>
        <v>0</v>
      </c>
      <c r="T92" s="673">
        <v>0.15</v>
      </c>
      <c r="U92" s="673">
        <f>IF(M92=0,0,R92)</f>
        <v>0</v>
      </c>
      <c r="V92" s="695">
        <f>IF(O92=0,0,S92)</f>
        <v>0</v>
      </c>
      <c r="W92" s="695">
        <f>IF(O92=0,0,T92)</f>
        <v>0</v>
      </c>
      <c r="X92" s="674"/>
      <c r="Y92" s="674"/>
      <c r="Z92" s="674"/>
      <c r="AA92" s="615"/>
    </row>
    <row r="93" spans="1:27" ht="14.25" hidden="1">
      <c r="A93" s="615"/>
      <c r="B93" s="674"/>
      <c r="C93" s="694"/>
      <c r="D93" s="694"/>
      <c r="E93" s="694"/>
      <c r="F93" s="694"/>
      <c r="G93" s="694"/>
      <c r="H93" s="694"/>
      <c r="I93" s="694"/>
      <c r="J93" s="694"/>
      <c r="K93" s="694"/>
      <c r="L93" s="694"/>
      <c r="M93" s="694"/>
      <c r="N93" s="694"/>
      <c r="O93" s="673"/>
      <c r="P93" s="674"/>
      <c r="Q93" s="673">
        <v>93</v>
      </c>
      <c r="R93" s="673"/>
      <c r="S93" s="673"/>
      <c r="T93" s="673" t="s">
        <v>651</v>
      </c>
      <c r="U93" s="673">
        <f>SUM(U90:U92)</f>
        <v>0</v>
      </c>
      <c r="V93" s="695">
        <f>SUM(V90:V92)</f>
        <v>0</v>
      </c>
      <c r="W93" s="695">
        <f>SUM(W90:W92)</f>
        <v>0</v>
      </c>
      <c r="X93" s="674"/>
      <c r="Y93" s="674"/>
      <c r="Z93" s="674"/>
      <c r="AA93" s="615"/>
    </row>
    <row r="94" spans="1:27" ht="21" hidden="1">
      <c r="A94" s="615"/>
      <c r="B94" s="674" t="s">
        <v>652</v>
      </c>
      <c r="C94" s="694">
        <f>C13*$G$13</f>
        <v>0</v>
      </c>
      <c r="D94" s="694">
        <f>$C13*D13*$G$13</f>
        <v>0</v>
      </c>
      <c r="E94" s="694">
        <f>$C13*E13*$G$13</f>
        <v>0</v>
      </c>
      <c r="F94" s="694">
        <f>$C13*F13*$G$13</f>
        <v>0</v>
      </c>
      <c r="G94" s="694">
        <f>C13-C94</f>
        <v>0</v>
      </c>
      <c r="H94" s="694">
        <f>$G94*D13</f>
        <v>0</v>
      </c>
      <c r="I94" s="694">
        <f>$G94*E13</f>
        <v>0</v>
      </c>
      <c r="J94" s="694">
        <f>$G94*F13</f>
        <v>0</v>
      </c>
      <c r="K94" s="694">
        <f t="shared" ref="K94:K101" si="6">G$13*M94</f>
        <v>0</v>
      </c>
      <c r="L94" s="694">
        <f>IF($H$13=0,I$13,0)</f>
        <v>0</v>
      </c>
      <c r="M94" s="694">
        <f>IF($H$13=0,J$13,0)</f>
        <v>0</v>
      </c>
      <c r="N94" s="694">
        <f>IF($H$13=0,K$13,0)</f>
        <v>0</v>
      </c>
      <c r="O94" s="673">
        <f>IF($H$13=0,L$13,0)</f>
        <v>0</v>
      </c>
      <c r="P94" s="674" t="s">
        <v>631</v>
      </c>
      <c r="Q94" s="673">
        <v>94</v>
      </c>
      <c r="R94" s="673">
        <f>D$13*0.87</f>
        <v>0</v>
      </c>
      <c r="S94" s="673">
        <f>R94*Y$60</f>
        <v>0</v>
      </c>
      <c r="T94" s="673">
        <v>0.65</v>
      </c>
      <c r="U94" s="673">
        <f t="shared" ref="U94:U101" si="7">IF(M94=0,0,R94)</f>
        <v>0</v>
      </c>
      <c r="V94" s="695">
        <f t="shared" ref="V94:V101" si="8">IF(M94=0,0,S94)</f>
        <v>0</v>
      </c>
      <c r="W94" s="695">
        <f t="shared" ref="W94:W101" si="9">IF(M94=0,0,T94)</f>
        <v>0</v>
      </c>
      <c r="X94" s="674" t="s">
        <v>652</v>
      </c>
      <c r="Y94" s="674"/>
      <c r="Z94" s="674"/>
      <c r="AA94" s="615"/>
    </row>
    <row r="95" spans="1:27" ht="14.25" hidden="1">
      <c r="A95" s="615"/>
      <c r="B95" s="674"/>
      <c r="C95" s="694"/>
      <c r="D95" s="694"/>
      <c r="E95" s="694"/>
      <c r="F95" s="694"/>
      <c r="G95" s="694"/>
      <c r="H95" s="694"/>
      <c r="I95" s="694"/>
      <c r="J95" s="694"/>
      <c r="K95" s="694">
        <f t="shared" si="6"/>
        <v>0</v>
      </c>
      <c r="L95" s="694">
        <f>IF($M$13=0,0,IF($M$13&lt;0.03,I$13,0))</f>
        <v>0</v>
      </c>
      <c r="M95" s="694">
        <f>IF($M$13=0,0,IF($M$13&lt;0.03,J$13,0))</f>
        <v>0</v>
      </c>
      <c r="N95" s="694">
        <f>IF($M$13=0,0,IF($M$13&lt;0.03,K$13,0))</f>
        <v>0</v>
      </c>
      <c r="O95" s="673">
        <f>IF($M$13=0,0,IF($M$13&lt;0.03,L$13,0))</f>
        <v>0</v>
      </c>
      <c r="P95" s="674" t="s">
        <v>565</v>
      </c>
      <c r="Q95" s="673">
        <v>95</v>
      </c>
      <c r="R95" s="673">
        <f>D$13*0.91</f>
        <v>0</v>
      </c>
      <c r="S95" s="673">
        <f>R95*Y$64</f>
        <v>0</v>
      </c>
      <c r="T95" s="673">
        <v>0.01</v>
      </c>
      <c r="U95" s="673">
        <f t="shared" si="7"/>
        <v>0</v>
      </c>
      <c r="V95" s="695">
        <f t="shared" si="8"/>
        <v>0</v>
      </c>
      <c r="W95" s="695">
        <f t="shared" si="9"/>
        <v>0</v>
      </c>
      <c r="X95" s="674"/>
      <c r="Y95" s="674"/>
      <c r="Z95" s="674"/>
      <c r="AA95" s="615"/>
    </row>
    <row r="96" spans="1:27" ht="14.25" hidden="1">
      <c r="A96" s="615"/>
      <c r="B96" s="674"/>
      <c r="C96" s="694"/>
      <c r="D96" s="694"/>
      <c r="E96" s="694"/>
      <c r="F96" s="694"/>
      <c r="G96" s="694"/>
      <c r="H96" s="694"/>
      <c r="I96" s="694"/>
      <c r="J96" s="694"/>
      <c r="K96" s="694">
        <f t="shared" si="6"/>
        <v>0</v>
      </c>
      <c r="L96" s="694">
        <f>IF(AND($M$13&gt;=0.03,$M$13&lt;0.1),I$13,0)</f>
        <v>0</v>
      </c>
      <c r="M96" s="694">
        <f>IF(AND($M$13&gt;=0.03,$M$13&lt;0.1),J$13,0)</f>
        <v>0</v>
      </c>
      <c r="N96" s="694">
        <f>IF(AND($M$13&gt;=0.03,$M$13&lt;0.1),K$13,0)</f>
        <v>0</v>
      </c>
      <c r="O96" s="673">
        <f>IF(AND($M$13&gt;=0.03,$M$13&lt;0.1),L$13,0)</f>
        <v>0</v>
      </c>
      <c r="P96" s="674" t="s">
        <v>642</v>
      </c>
      <c r="Q96" s="673">
        <v>96</v>
      </c>
      <c r="R96" s="673">
        <f>D$13*0.91</f>
        <v>0</v>
      </c>
      <c r="S96" s="673">
        <f>R96*Y$63</f>
        <v>0</v>
      </c>
      <c r="T96" s="673">
        <v>0.05</v>
      </c>
      <c r="U96" s="673">
        <f t="shared" si="7"/>
        <v>0</v>
      </c>
      <c r="V96" s="695">
        <f t="shared" si="8"/>
        <v>0</v>
      </c>
      <c r="W96" s="695">
        <f t="shared" si="9"/>
        <v>0</v>
      </c>
      <c r="X96" s="674"/>
      <c r="Y96" s="674"/>
      <c r="Z96" s="674"/>
      <c r="AA96" s="615"/>
    </row>
    <row r="97" spans="1:27" ht="14.25" hidden="1">
      <c r="A97" s="615"/>
      <c r="B97" s="674"/>
      <c r="C97" s="694"/>
      <c r="D97" s="694"/>
      <c r="E97" s="694"/>
      <c r="F97" s="694"/>
      <c r="G97" s="694"/>
      <c r="H97" s="694"/>
      <c r="I97" s="694"/>
      <c r="J97" s="694"/>
      <c r="K97" s="694">
        <f t="shared" si="6"/>
        <v>0</v>
      </c>
      <c r="L97" s="694">
        <f>IF(AND($M$13&gt;=0.1,$M$13&lt;0.325),I$13,0)</f>
        <v>0</v>
      </c>
      <c r="M97" s="694">
        <f>IF(AND($M$13&gt;=0.1,$M$13&lt;0.325),J$13,0)</f>
        <v>0</v>
      </c>
      <c r="N97" s="694">
        <f>IF(AND($M$13&gt;=0.1,$M$13&lt;0.325),K$13,0)</f>
        <v>0</v>
      </c>
      <c r="O97" s="673">
        <f>IF(AND($M$13&gt;=0.1,$M$13&lt;0.325),L$13,0)</f>
        <v>0</v>
      </c>
      <c r="P97" s="674" t="s">
        <v>640</v>
      </c>
      <c r="Q97" s="673">
        <v>97</v>
      </c>
      <c r="R97" s="673">
        <f>D$13*0.91</f>
        <v>0</v>
      </c>
      <c r="S97" s="673">
        <f>R97*Y$62</f>
        <v>0</v>
      </c>
      <c r="T97" s="673">
        <v>0.15</v>
      </c>
      <c r="U97" s="673">
        <f t="shared" si="7"/>
        <v>0</v>
      </c>
      <c r="V97" s="695">
        <f t="shared" si="8"/>
        <v>0</v>
      </c>
      <c r="W97" s="695">
        <f t="shared" si="9"/>
        <v>0</v>
      </c>
      <c r="X97" s="674"/>
      <c r="Y97" s="674"/>
      <c r="Z97" s="674"/>
      <c r="AA97" s="615"/>
    </row>
    <row r="98" spans="1:27" ht="14.25" hidden="1">
      <c r="A98" s="615"/>
      <c r="B98" s="674"/>
      <c r="C98" s="694"/>
      <c r="D98" s="694"/>
      <c r="E98" s="694"/>
      <c r="F98" s="694"/>
      <c r="G98" s="694"/>
      <c r="H98" s="694"/>
      <c r="I98" s="694"/>
      <c r="J98" s="694"/>
      <c r="K98" s="694">
        <f t="shared" si="6"/>
        <v>0</v>
      </c>
      <c r="L98" s="694">
        <f>IF(AND($M$13&gt;=0.325,$M$13&lt;0.55),I$13,0)</f>
        <v>0</v>
      </c>
      <c r="M98" s="694">
        <f>IF(AND($M$13&gt;=0.325,$M$13&lt;0.55),J$13,0)</f>
        <v>0</v>
      </c>
      <c r="N98" s="694">
        <f>IF(AND($M$13&gt;=0.325,$M$13&lt;0.55),K$13,0)</f>
        <v>0</v>
      </c>
      <c r="O98" s="673">
        <f>IF(AND($M$13&gt;=0.325,$M$13&lt;0.55),L$13,0)</f>
        <v>0</v>
      </c>
      <c r="P98" s="674" t="s">
        <v>653</v>
      </c>
      <c r="Q98" s="673">
        <v>98</v>
      </c>
      <c r="R98" s="673">
        <f>D$13*0.87</f>
        <v>0</v>
      </c>
      <c r="S98" s="673">
        <f>R98*Y$58</f>
        <v>0</v>
      </c>
      <c r="T98" s="673">
        <v>0.5</v>
      </c>
      <c r="U98" s="673">
        <f t="shared" si="7"/>
        <v>0</v>
      </c>
      <c r="V98" s="695">
        <f t="shared" si="8"/>
        <v>0</v>
      </c>
      <c r="W98" s="695">
        <f t="shared" si="9"/>
        <v>0</v>
      </c>
      <c r="X98" s="674"/>
      <c r="Y98" s="674"/>
      <c r="Z98" s="674"/>
      <c r="AA98" s="615"/>
    </row>
    <row r="99" spans="1:27" ht="14.25" hidden="1">
      <c r="A99" s="615"/>
      <c r="B99" s="674"/>
      <c r="C99" s="694"/>
      <c r="D99" s="694"/>
      <c r="E99" s="694"/>
      <c r="F99" s="694"/>
      <c r="G99" s="694"/>
      <c r="H99" s="694"/>
      <c r="I99" s="694"/>
      <c r="J99" s="694"/>
      <c r="K99" s="694">
        <f t="shared" si="6"/>
        <v>0</v>
      </c>
      <c r="L99" s="694">
        <f>IF(AND($M$13&gt;=0.55,$M$13&lt;0.625),I$13,0)</f>
        <v>0</v>
      </c>
      <c r="M99" s="694">
        <f>IF(AND($M$13&gt;=0.55,$M$13&lt;0.625),J$13,0)</f>
        <v>0</v>
      </c>
      <c r="N99" s="694">
        <f>IF(AND($M$13&gt;=0.55,$M$13&lt;0.625),K$13,0)</f>
        <v>0</v>
      </c>
      <c r="O99" s="673">
        <f>IF(AND($M$13&gt;=0.55,$M$13&lt;0.625),L$13,0)</f>
        <v>0</v>
      </c>
      <c r="P99" s="674" t="s">
        <v>634</v>
      </c>
      <c r="Q99" s="673">
        <v>99</v>
      </c>
      <c r="R99" s="673">
        <f>D$13*0.87</f>
        <v>0</v>
      </c>
      <c r="S99" s="673">
        <f>R99*Y$59</f>
        <v>0</v>
      </c>
      <c r="T99" s="673">
        <v>0.60000000000000009</v>
      </c>
      <c r="U99" s="673">
        <f t="shared" si="7"/>
        <v>0</v>
      </c>
      <c r="V99" s="695">
        <f t="shared" si="8"/>
        <v>0</v>
      </c>
      <c r="W99" s="695">
        <f t="shared" si="9"/>
        <v>0</v>
      </c>
      <c r="X99" s="674"/>
      <c r="Y99" s="674"/>
      <c r="Z99" s="674"/>
      <c r="AA99" s="615"/>
    </row>
    <row r="100" spans="1:27" ht="14.25" hidden="1">
      <c r="A100" s="615"/>
      <c r="B100" s="674"/>
      <c r="C100" s="694"/>
      <c r="D100" s="694"/>
      <c r="E100" s="694"/>
      <c r="F100" s="694"/>
      <c r="G100" s="694"/>
      <c r="H100" s="694"/>
      <c r="I100" s="694"/>
      <c r="J100" s="694"/>
      <c r="K100" s="694">
        <f t="shared" si="6"/>
        <v>0</v>
      </c>
      <c r="L100" s="694">
        <f>IF(AND($M$13&gt;=0.625,$M$13&lt;0.775),I$13,0)</f>
        <v>0</v>
      </c>
      <c r="M100" s="694">
        <f>IF(AND($M$13&gt;=0.625,$M$13&lt;0.775),J$13,0)</f>
        <v>0</v>
      </c>
      <c r="N100" s="694">
        <f>IF(AND($M$13&gt;=0.625,$M$13&lt;0.775),K$13,0)</f>
        <v>0</v>
      </c>
      <c r="O100" s="673">
        <f>IF(AND($M$13&gt;=0.625,$M$13&lt;0.775),L$13,0)</f>
        <v>0</v>
      </c>
      <c r="P100" s="674" t="s">
        <v>636</v>
      </c>
      <c r="Q100" s="673">
        <v>100</v>
      </c>
      <c r="R100" s="673">
        <f>D$13*0.87</f>
        <v>0</v>
      </c>
      <c r="S100" s="673">
        <f>R100*Y$60</f>
        <v>0</v>
      </c>
      <c r="T100" s="673">
        <v>0.65</v>
      </c>
      <c r="U100" s="673">
        <f t="shared" si="7"/>
        <v>0</v>
      </c>
      <c r="V100" s="695">
        <f t="shared" si="8"/>
        <v>0</v>
      </c>
      <c r="W100" s="695">
        <f t="shared" si="9"/>
        <v>0</v>
      </c>
      <c r="X100" s="674"/>
      <c r="Y100" s="674"/>
      <c r="Z100" s="674"/>
      <c r="AA100" s="615"/>
    </row>
    <row r="101" spans="1:27" ht="14.25" hidden="1">
      <c r="A101" s="615"/>
      <c r="B101" s="674"/>
      <c r="C101" s="694"/>
      <c r="D101" s="694"/>
      <c r="E101" s="694"/>
      <c r="F101" s="694"/>
      <c r="G101" s="694"/>
      <c r="H101" s="694"/>
      <c r="I101" s="694"/>
      <c r="J101" s="694"/>
      <c r="K101" s="694">
        <f t="shared" si="6"/>
        <v>0</v>
      </c>
      <c r="L101" s="694">
        <f>IF($M$13&gt;=0.775,I$13,0)</f>
        <v>0</v>
      </c>
      <c r="M101" s="694">
        <f>IF($M$13&gt;=0.775,J$13,0)</f>
        <v>0</v>
      </c>
      <c r="N101" s="694">
        <f>IF($M$13&gt;=0.775,K$13,0)</f>
        <v>0</v>
      </c>
      <c r="O101" s="673">
        <f>IF($M$13&gt;=0.775,L$13,0)</f>
        <v>0</v>
      </c>
      <c r="P101" s="674" t="s">
        <v>638</v>
      </c>
      <c r="Q101" s="673">
        <v>101</v>
      </c>
      <c r="R101" s="673">
        <f>D$13*0.87</f>
        <v>0</v>
      </c>
      <c r="S101" s="673">
        <f>R101*Y$61</f>
        <v>0</v>
      </c>
      <c r="T101" s="673">
        <v>0.9</v>
      </c>
      <c r="U101" s="673">
        <f t="shared" si="7"/>
        <v>0</v>
      </c>
      <c r="V101" s="695">
        <f t="shared" si="8"/>
        <v>0</v>
      </c>
      <c r="W101" s="695">
        <f t="shared" si="9"/>
        <v>0</v>
      </c>
      <c r="X101" s="674"/>
      <c r="Y101" s="674"/>
      <c r="Z101" s="674"/>
      <c r="AA101" s="615"/>
    </row>
    <row r="102" spans="1:27" ht="14.25" hidden="1">
      <c r="A102" s="615"/>
      <c r="B102" s="674"/>
      <c r="C102" s="694"/>
      <c r="D102" s="694"/>
      <c r="E102" s="694"/>
      <c r="F102" s="694"/>
      <c r="G102" s="694"/>
      <c r="H102" s="694"/>
      <c r="I102" s="694"/>
      <c r="J102" s="694"/>
      <c r="K102" s="694"/>
      <c r="L102" s="694"/>
      <c r="M102" s="694"/>
      <c r="N102" s="694"/>
      <c r="O102" s="673"/>
      <c r="P102" s="674"/>
      <c r="Q102" s="673">
        <v>102</v>
      </c>
      <c r="R102" s="673"/>
      <c r="S102" s="673"/>
      <c r="T102" s="673" t="s">
        <v>652</v>
      </c>
      <c r="U102" s="673">
        <f>SUM(U94:U101)</f>
        <v>0</v>
      </c>
      <c r="V102" s="695">
        <f>SUM(V94:V101)</f>
        <v>0</v>
      </c>
      <c r="W102" s="695">
        <f>SUM(W94:W101)</f>
        <v>0</v>
      </c>
      <c r="X102" s="674"/>
      <c r="Y102" s="674"/>
      <c r="Z102" s="674"/>
      <c r="AA102" s="615"/>
    </row>
    <row r="103" spans="1:27" ht="21" hidden="1">
      <c r="A103" s="615"/>
      <c r="B103" s="674" t="s">
        <v>654</v>
      </c>
      <c r="C103" s="694">
        <f>C14*$G$13</f>
        <v>0</v>
      </c>
      <c r="D103" s="694">
        <f>$C14*D14*$G$13</f>
        <v>0</v>
      </c>
      <c r="E103" s="694">
        <f>$C14*E14*$G$13</f>
        <v>0</v>
      </c>
      <c r="F103" s="694">
        <f>$C14*F14*$G$13</f>
        <v>0</v>
      </c>
      <c r="G103" s="694">
        <f>C14-C103</f>
        <v>0</v>
      </c>
      <c r="H103" s="694">
        <f>$G103*D14</f>
        <v>0</v>
      </c>
      <c r="I103" s="694">
        <f>$G103*E14</f>
        <v>0</v>
      </c>
      <c r="J103" s="694">
        <f>$G103*F14</f>
        <v>0</v>
      </c>
      <c r="K103" s="694">
        <f t="shared" ref="K103:K110" si="10">G$14*M103</f>
        <v>0</v>
      </c>
      <c r="L103" s="694">
        <f>IF($H$14=0,I$14,0)</f>
        <v>0</v>
      </c>
      <c r="M103" s="694">
        <f>IF($H$14=0,J$14,0)</f>
        <v>0</v>
      </c>
      <c r="N103" s="694">
        <f>IF($H$14=0,K$14,0)</f>
        <v>0</v>
      </c>
      <c r="O103" s="673">
        <f>IF($H$14=0,L$14,0)</f>
        <v>0</v>
      </c>
      <c r="P103" s="674" t="s">
        <v>631</v>
      </c>
      <c r="Q103" s="673">
        <v>103</v>
      </c>
      <c r="R103" s="673">
        <f>D$14*0.87</f>
        <v>0</v>
      </c>
      <c r="S103" s="673">
        <f>R103*Y$60</f>
        <v>0</v>
      </c>
      <c r="T103" s="673">
        <v>0.65</v>
      </c>
      <c r="U103" s="673">
        <f t="shared" ref="U103:U110" si="11">IF(M103=0,0,R103)</f>
        <v>0</v>
      </c>
      <c r="V103" s="695">
        <f t="shared" ref="V103:V110" si="12">IF(M103=0,0,S103)</f>
        <v>0</v>
      </c>
      <c r="W103" s="695">
        <f t="shared" ref="W103:W110" si="13">IF(M103=0,0,T103)</f>
        <v>0</v>
      </c>
      <c r="X103" s="674" t="s">
        <v>654</v>
      </c>
      <c r="Y103" s="674"/>
      <c r="Z103" s="674"/>
      <c r="AA103" s="615"/>
    </row>
    <row r="104" spans="1:27" ht="14.25" hidden="1">
      <c r="A104" s="615"/>
      <c r="B104" s="674"/>
      <c r="C104" s="694"/>
      <c r="D104" s="694"/>
      <c r="E104" s="694"/>
      <c r="F104" s="694"/>
      <c r="G104" s="694"/>
      <c r="H104" s="694"/>
      <c r="I104" s="694"/>
      <c r="J104" s="694"/>
      <c r="K104" s="694">
        <f t="shared" si="10"/>
        <v>0</v>
      </c>
      <c r="L104" s="694">
        <f>IF($M$14=0,0,IF($M$14&lt;0.03,I$14,0))</f>
        <v>0</v>
      </c>
      <c r="M104" s="694">
        <f>IF($M$14=0,0,IF($M$14&lt;0.03,J$14,0))</f>
        <v>0</v>
      </c>
      <c r="N104" s="694">
        <f>IF($M$14=0,0,IF($M$14&lt;0.03,K$14,0))</f>
        <v>0</v>
      </c>
      <c r="O104" s="673">
        <f>IF($M$14=0,0,IF($M$14&lt;0.03,L$14,0))</f>
        <v>0</v>
      </c>
      <c r="P104" s="674" t="s">
        <v>565</v>
      </c>
      <c r="Q104" s="673">
        <v>104</v>
      </c>
      <c r="R104" s="673">
        <f>D$14*0.91</f>
        <v>0</v>
      </c>
      <c r="S104" s="673">
        <f>R104*Y$64</f>
        <v>0</v>
      </c>
      <c r="T104" s="673">
        <v>0.01</v>
      </c>
      <c r="U104" s="673">
        <f t="shared" si="11"/>
        <v>0</v>
      </c>
      <c r="V104" s="695">
        <f t="shared" si="12"/>
        <v>0</v>
      </c>
      <c r="W104" s="695">
        <f t="shared" si="13"/>
        <v>0</v>
      </c>
      <c r="X104" s="674"/>
      <c r="Y104" s="674"/>
      <c r="Z104" s="674"/>
      <c r="AA104" s="615"/>
    </row>
    <row r="105" spans="1:27" ht="14.25" hidden="1">
      <c r="A105" s="615"/>
      <c r="B105" s="674"/>
      <c r="C105" s="694"/>
      <c r="D105" s="694"/>
      <c r="E105" s="694"/>
      <c r="F105" s="694"/>
      <c r="G105" s="694"/>
      <c r="H105" s="694"/>
      <c r="I105" s="694"/>
      <c r="J105" s="694"/>
      <c r="K105" s="694">
        <f t="shared" si="10"/>
        <v>0</v>
      </c>
      <c r="L105" s="694">
        <f>IF(AND($M$14&gt;=0.03,$M$14&lt;0.1),I$14,0)</f>
        <v>0</v>
      </c>
      <c r="M105" s="694">
        <f>IF(AND($M$14&gt;=0.03,$M$14&lt;0.1),J$14,0)</f>
        <v>0</v>
      </c>
      <c r="N105" s="694">
        <f>IF(AND($M$14&gt;=0.03,$M$14&lt;0.1),K$14,0)</f>
        <v>0</v>
      </c>
      <c r="O105" s="673">
        <f>IF(AND($M$14&gt;=0.03,$M$14&lt;0.1),L$14,0)</f>
        <v>0</v>
      </c>
      <c r="P105" s="674" t="s">
        <v>642</v>
      </c>
      <c r="Q105" s="673">
        <v>105</v>
      </c>
      <c r="R105" s="673">
        <f>D$14*0.91</f>
        <v>0</v>
      </c>
      <c r="S105" s="673">
        <f>R105*Y$63</f>
        <v>0</v>
      </c>
      <c r="T105" s="673">
        <v>0.05</v>
      </c>
      <c r="U105" s="673">
        <f t="shared" si="11"/>
        <v>0</v>
      </c>
      <c r="V105" s="695">
        <f t="shared" si="12"/>
        <v>0</v>
      </c>
      <c r="W105" s="695">
        <f t="shared" si="13"/>
        <v>0</v>
      </c>
      <c r="X105" s="674"/>
      <c r="Y105" s="674"/>
      <c r="Z105" s="674"/>
      <c r="AA105" s="615"/>
    </row>
    <row r="106" spans="1:27" ht="14.25" hidden="1">
      <c r="A106" s="615"/>
      <c r="B106" s="674"/>
      <c r="C106" s="694"/>
      <c r="D106" s="694"/>
      <c r="E106" s="694"/>
      <c r="F106" s="694"/>
      <c r="G106" s="694"/>
      <c r="H106" s="694"/>
      <c r="I106" s="694"/>
      <c r="J106" s="694"/>
      <c r="K106" s="694">
        <f t="shared" si="10"/>
        <v>0</v>
      </c>
      <c r="L106" s="694">
        <f>IF(AND($M$14&gt;=0.1,$M$14&lt;0.325),I$14,0)</f>
        <v>0</v>
      </c>
      <c r="M106" s="694">
        <f>IF(AND($M$14&gt;=0.1,$M$14&lt;0.325),J$14,0)</f>
        <v>0</v>
      </c>
      <c r="N106" s="694">
        <f>IF(AND($M$14&gt;=0.1,$M$14&lt;0.325),K$14,0)</f>
        <v>0</v>
      </c>
      <c r="O106" s="673">
        <f>IF(AND($M$14&gt;=0.1,$M$14&lt;0.325),L$14,0)</f>
        <v>0</v>
      </c>
      <c r="P106" s="674" t="s">
        <v>640</v>
      </c>
      <c r="Q106" s="673">
        <v>106</v>
      </c>
      <c r="R106" s="673">
        <f>D$14*0.91</f>
        <v>0</v>
      </c>
      <c r="S106" s="673">
        <f>R106*Y$62</f>
        <v>0</v>
      </c>
      <c r="T106" s="673">
        <v>0.15</v>
      </c>
      <c r="U106" s="673">
        <f t="shared" si="11"/>
        <v>0</v>
      </c>
      <c r="V106" s="695">
        <f t="shared" si="12"/>
        <v>0</v>
      </c>
      <c r="W106" s="695">
        <f t="shared" si="13"/>
        <v>0</v>
      </c>
      <c r="X106" s="674"/>
      <c r="Y106" s="674"/>
      <c r="Z106" s="674"/>
      <c r="AA106" s="615"/>
    </row>
    <row r="107" spans="1:27" ht="14.25" hidden="1">
      <c r="A107" s="615"/>
      <c r="B107" s="674"/>
      <c r="C107" s="694"/>
      <c r="D107" s="694"/>
      <c r="E107" s="694"/>
      <c r="F107" s="694"/>
      <c r="G107" s="694"/>
      <c r="H107" s="694"/>
      <c r="I107" s="694"/>
      <c r="J107" s="694"/>
      <c r="K107" s="694">
        <f t="shared" si="10"/>
        <v>0</v>
      </c>
      <c r="L107" s="694">
        <f>IF(AND($M$14&gt;=0.325,$M$14&lt;0.55),I$14,0)</f>
        <v>0</v>
      </c>
      <c r="M107" s="694">
        <f>IF(AND($M$14&gt;=0.325,$M$14&lt;0.55),J$14,0)</f>
        <v>0</v>
      </c>
      <c r="N107" s="694">
        <f>IF(AND($M$14&gt;=0.325,$M$14&lt;0.55),K$14,0)</f>
        <v>0</v>
      </c>
      <c r="O107" s="673">
        <f>IF(AND($M$14&gt;=0.325,$M$14&lt;0.55),L$14,0)</f>
        <v>0</v>
      </c>
      <c r="P107" s="674" t="s">
        <v>653</v>
      </c>
      <c r="Q107" s="673">
        <v>107</v>
      </c>
      <c r="R107" s="673">
        <f>D$14*0.87</f>
        <v>0</v>
      </c>
      <c r="S107" s="673">
        <f>R107*Y$58</f>
        <v>0</v>
      </c>
      <c r="T107" s="673">
        <v>0.5</v>
      </c>
      <c r="U107" s="673">
        <f t="shared" si="11"/>
        <v>0</v>
      </c>
      <c r="V107" s="695">
        <f t="shared" si="12"/>
        <v>0</v>
      </c>
      <c r="W107" s="695">
        <f t="shared" si="13"/>
        <v>0</v>
      </c>
      <c r="X107" s="674"/>
      <c r="Y107" s="674"/>
      <c r="Z107" s="674"/>
      <c r="AA107" s="615"/>
    </row>
    <row r="108" spans="1:27" ht="14.25" hidden="1">
      <c r="A108" s="615"/>
      <c r="B108" s="674"/>
      <c r="C108" s="694"/>
      <c r="D108" s="694"/>
      <c r="E108" s="694"/>
      <c r="F108" s="694"/>
      <c r="G108" s="694"/>
      <c r="H108" s="694"/>
      <c r="I108" s="694"/>
      <c r="J108" s="694"/>
      <c r="K108" s="694">
        <f t="shared" si="10"/>
        <v>0</v>
      </c>
      <c r="L108" s="694">
        <f>IF(AND($M$14&gt;=0.55,$M$14&lt;0.625),I$14,0)</f>
        <v>0</v>
      </c>
      <c r="M108" s="694">
        <f>IF(AND($M$14&gt;=0.55,$M$14&lt;0.625),J$14,0)</f>
        <v>0</v>
      </c>
      <c r="N108" s="694">
        <f>IF(AND($M$14&gt;=0.55,$M$14&lt;0.625),K$14,0)</f>
        <v>0</v>
      </c>
      <c r="O108" s="673">
        <f>IF(AND($M$14&gt;=0.55,$M$14&lt;0.625),L$14,0)</f>
        <v>0</v>
      </c>
      <c r="P108" s="674" t="s">
        <v>634</v>
      </c>
      <c r="Q108" s="673">
        <v>108</v>
      </c>
      <c r="R108" s="673">
        <f>D$14*0.87</f>
        <v>0</v>
      </c>
      <c r="S108" s="673">
        <f>R108*Y$59</f>
        <v>0</v>
      </c>
      <c r="T108" s="673">
        <v>0.60000000000000009</v>
      </c>
      <c r="U108" s="673">
        <f t="shared" si="11"/>
        <v>0</v>
      </c>
      <c r="V108" s="695">
        <f t="shared" si="12"/>
        <v>0</v>
      </c>
      <c r="W108" s="695">
        <f t="shared" si="13"/>
        <v>0</v>
      </c>
      <c r="X108" s="674"/>
      <c r="Y108" s="674"/>
      <c r="Z108" s="674"/>
      <c r="AA108" s="615"/>
    </row>
    <row r="109" spans="1:27" ht="14.25" hidden="1">
      <c r="A109" s="615"/>
      <c r="B109" s="674"/>
      <c r="C109" s="694"/>
      <c r="D109" s="694"/>
      <c r="E109" s="694"/>
      <c r="F109" s="694"/>
      <c r="G109" s="694"/>
      <c r="H109" s="694"/>
      <c r="I109" s="694"/>
      <c r="J109" s="694"/>
      <c r="K109" s="694">
        <f t="shared" si="10"/>
        <v>0</v>
      </c>
      <c r="L109" s="694">
        <f>IF(AND($M$14&gt;=0.625,$M$14&lt;0.775),I$14,0)</f>
        <v>0</v>
      </c>
      <c r="M109" s="694">
        <f>IF(AND($M$14&gt;=0.625,$M$14&lt;0.775),J$14,0)</f>
        <v>0</v>
      </c>
      <c r="N109" s="694">
        <f>IF(AND($M$14&gt;=0.625,$M$14&lt;0.775),K$14,0)</f>
        <v>0</v>
      </c>
      <c r="O109" s="673">
        <f>IF(AND($M$14&gt;=0.625,$M$14&lt;0.775),L$14,0)</f>
        <v>0</v>
      </c>
      <c r="P109" s="674" t="s">
        <v>636</v>
      </c>
      <c r="Q109" s="673">
        <v>109</v>
      </c>
      <c r="R109" s="673">
        <f>D$14*0.87</f>
        <v>0</v>
      </c>
      <c r="S109" s="673">
        <f>R109*Y$60</f>
        <v>0</v>
      </c>
      <c r="T109" s="673">
        <v>0.65</v>
      </c>
      <c r="U109" s="673">
        <f t="shared" si="11"/>
        <v>0</v>
      </c>
      <c r="V109" s="695">
        <f t="shared" si="12"/>
        <v>0</v>
      </c>
      <c r="W109" s="695">
        <f t="shared" si="13"/>
        <v>0</v>
      </c>
      <c r="X109" s="674"/>
      <c r="Y109" s="674"/>
      <c r="Z109" s="674"/>
      <c r="AA109" s="615"/>
    </row>
    <row r="110" spans="1:27" ht="14.25" hidden="1">
      <c r="A110" s="615"/>
      <c r="B110" s="674"/>
      <c r="C110" s="694"/>
      <c r="D110" s="694"/>
      <c r="E110" s="694"/>
      <c r="F110" s="694"/>
      <c r="G110" s="694"/>
      <c r="H110" s="694"/>
      <c r="I110" s="694"/>
      <c r="J110" s="694"/>
      <c r="K110" s="694">
        <f t="shared" si="10"/>
        <v>0</v>
      </c>
      <c r="L110" s="694">
        <f>IF($M$14&gt;=0.775,I$14,0)</f>
        <v>0</v>
      </c>
      <c r="M110" s="694">
        <f>IF($M$14&gt;=0.775,J$14,0)</f>
        <v>0</v>
      </c>
      <c r="N110" s="694">
        <f>IF($M$14&gt;=0.775,K$14,0)</f>
        <v>0</v>
      </c>
      <c r="O110" s="673">
        <f>IF($M$14&gt;=0.775,L$14,0)</f>
        <v>0</v>
      </c>
      <c r="P110" s="674" t="s">
        <v>638</v>
      </c>
      <c r="Q110" s="673">
        <v>110</v>
      </c>
      <c r="R110" s="673">
        <f>D$14*0.87</f>
        <v>0</v>
      </c>
      <c r="S110" s="673">
        <f>R110*Y$61</f>
        <v>0</v>
      </c>
      <c r="T110" s="673">
        <v>0.9</v>
      </c>
      <c r="U110" s="673">
        <f t="shared" si="11"/>
        <v>0</v>
      </c>
      <c r="V110" s="695">
        <f t="shared" si="12"/>
        <v>0</v>
      </c>
      <c r="W110" s="695">
        <f t="shared" si="13"/>
        <v>0</v>
      </c>
      <c r="X110" s="674"/>
      <c r="Y110" s="674"/>
      <c r="Z110" s="674"/>
      <c r="AA110" s="615"/>
    </row>
    <row r="111" spans="1:27" ht="14.25" hidden="1">
      <c r="A111" s="615"/>
      <c r="B111" s="674"/>
      <c r="C111" s="694"/>
      <c r="D111" s="694"/>
      <c r="E111" s="694"/>
      <c r="F111" s="694"/>
      <c r="G111" s="694"/>
      <c r="H111" s="694"/>
      <c r="I111" s="694"/>
      <c r="J111" s="694"/>
      <c r="K111" s="694"/>
      <c r="L111" s="694"/>
      <c r="M111" s="694"/>
      <c r="N111" s="694"/>
      <c r="O111" s="673"/>
      <c r="P111" s="674"/>
      <c r="Q111" s="673">
        <v>111</v>
      </c>
      <c r="R111" s="673"/>
      <c r="S111" s="673"/>
      <c r="T111" s="673" t="s">
        <v>654</v>
      </c>
      <c r="U111" s="673">
        <f>SUM(U103:U110)</f>
        <v>0</v>
      </c>
      <c r="V111" s="695">
        <f>SUM(V103:V110)</f>
        <v>0</v>
      </c>
      <c r="W111" s="695">
        <f>SUM(W103:W110)</f>
        <v>0</v>
      </c>
      <c r="X111" s="674"/>
      <c r="Y111" s="674"/>
      <c r="Z111" s="674"/>
      <c r="AA111" s="615"/>
    </row>
    <row r="112" spans="1:27" ht="21" hidden="1">
      <c r="A112" s="615"/>
      <c r="B112" s="674" t="s">
        <v>655</v>
      </c>
      <c r="C112" s="694">
        <f>C15*$G$13</f>
        <v>0</v>
      </c>
      <c r="D112" s="694">
        <f>$C15*D15*$G$13</f>
        <v>0</v>
      </c>
      <c r="E112" s="694">
        <f>$C15*E15*$G$13</f>
        <v>0</v>
      </c>
      <c r="F112" s="694">
        <f>$C15*F15*$G$13</f>
        <v>0</v>
      </c>
      <c r="G112" s="694">
        <f>C15-C112</f>
        <v>0</v>
      </c>
      <c r="H112" s="694">
        <f>$G112*D15</f>
        <v>0</v>
      </c>
      <c r="I112" s="694">
        <f>$G112*E15</f>
        <v>0</v>
      </c>
      <c r="J112" s="694">
        <f>$G112*F15</f>
        <v>0</v>
      </c>
      <c r="K112" s="694">
        <f t="shared" ref="K112:K119" si="14">G$15*M112</f>
        <v>0</v>
      </c>
      <c r="L112" s="694">
        <f>IF($H$15=0,I$15,0)</f>
        <v>0</v>
      </c>
      <c r="M112" s="694">
        <f>IF($H$15=0,J$15,0)</f>
        <v>0</v>
      </c>
      <c r="N112" s="694">
        <f>IF($H$15=0,K$15,0)</f>
        <v>0</v>
      </c>
      <c r="O112" s="673">
        <f>IF($H$15=0,L$15,0)</f>
        <v>0</v>
      </c>
      <c r="P112" s="674" t="s">
        <v>631</v>
      </c>
      <c r="Q112" s="673">
        <v>112</v>
      </c>
      <c r="R112" s="673">
        <f>D$15*0.87</f>
        <v>0</v>
      </c>
      <c r="S112" s="673">
        <f>R112*Y$60</f>
        <v>0</v>
      </c>
      <c r="T112" s="673">
        <v>0.65</v>
      </c>
      <c r="U112" s="673">
        <f t="shared" ref="U112:U119" si="15">IF(M112=0,0,R112)</f>
        <v>0</v>
      </c>
      <c r="V112" s="695">
        <f t="shared" ref="V112:V119" si="16">IF(M112=0,0,S112)</f>
        <v>0</v>
      </c>
      <c r="W112" s="695">
        <f t="shared" ref="W112:W119" si="17">IF(M112=0,0,T112)</f>
        <v>0</v>
      </c>
      <c r="X112" s="674" t="s">
        <v>655</v>
      </c>
      <c r="Y112" s="674"/>
      <c r="Z112" s="674"/>
      <c r="AA112" s="615"/>
    </row>
    <row r="113" spans="1:27" ht="14.25" hidden="1">
      <c r="A113" s="615"/>
      <c r="B113" s="674"/>
      <c r="C113" s="694"/>
      <c r="D113" s="694"/>
      <c r="E113" s="694"/>
      <c r="F113" s="694"/>
      <c r="G113" s="694"/>
      <c r="H113" s="694"/>
      <c r="I113" s="694"/>
      <c r="J113" s="694"/>
      <c r="K113" s="694">
        <f t="shared" si="14"/>
        <v>0</v>
      </c>
      <c r="L113" s="694">
        <f>IF($M$15=0,0,IF($M$15&lt;0.03,I$15,0))</f>
        <v>0</v>
      </c>
      <c r="M113" s="694">
        <f>IF($M$15=0,0,IF($M$15&lt;0.03,J$15,0))</f>
        <v>0</v>
      </c>
      <c r="N113" s="694">
        <f>IF($M$15=0,0,IF($M$15&lt;0.03,K$15,0))</f>
        <v>0</v>
      </c>
      <c r="O113" s="673">
        <f>IF($M$15=0,0,IF($M$15&lt;0.03,L$15,0))</f>
        <v>0</v>
      </c>
      <c r="P113" s="674" t="s">
        <v>565</v>
      </c>
      <c r="Q113" s="673">
        <v>113</v>
      </c>
      <c r="R113" s="673">
        <f>D$15*0.91</f>
        <v>0</v>
      </c>
      <c r="S113" s="673">
        <f>R113*Y$64</f>
        <v>0</v>
      </c>
      <c r="T113" s="673">
        <v>0.01</v>
      </c>
      <c r="U113" s="673">
        <f t="shared" si="15"/>
        <v>0</v>
      </c>
      <c r="V113" s="695">
        <f t="shared" si="16"/>
        <v>0</v>
      </c>
      <c r="W113" s="695">
        <f t="shared" si="17"/>
        <v>0</v>
      </c>
      <c r="X113" s="674"/>
      <c r="Y113" s="674"/>
      <c r="Z113" s="674"/>
      <c r="AA113" s="615"/>
    </row>
    <row r="114" spans="1:27" ht="14.25" hidden="1">
      <c r="A114" s="615"/>
      <c r="B114" s="674"/>
      <c r="C114" s="694"/>
      <c r="D114" s="694"/>
      <c r="E114" s="694"/>
      <c r="F114" s="694"/>
      <c r="G114" s="694"/>
      <c r="H114" s="694"/>
      <c r="I114" s="694"/>
      <c r="J114" s="694"/>
      <c r="K114" s="694">
        <f t="shared" si="14"/>
        <v>0</v>
      </c>
      <c r="L114" s="694">
        <f>IF(AND($M$15&gt;=0.03,$M$15&lt;0.1),I$15,0)</f>
        <v>0</v>
      </c>
      <c r="M114" s="694">
        <f>IF(AND($M$15&gt;=0.03,$M$15&lt;0.1),J$15,0)</f>
        <v>0</v>
      </c>
      <c r="N114" s="694">
        <f>IF(AND($M$15&gt;=0.03,$M$15&lt;0.1),K$15,0)</f>
        <v>0</v>
      </c>
      <c r="O114" s="673">
        <f>IF(AND($M$15&gt;=0.03,$M$15&lt;0.1),L$15,0)</f>
        <v>0</v>
      </c>
      <c r="P114" s="674" t="s">
        <v>642</v>
      </c>
      <c r="Q114" s="673">
        <v>114</v>
      </c>
      <c r="R114" s="673">
        <f>D$15*0.91</f>
        <v>0</v>
      </c>
      <c r="S114" s="673">
        <f>R114*Y$63</f>
        <v>0</v>
      </c>
      <c r="T114" s="673">
        <v>0.05</v>
      </c>
      <c r="U114" s="673">
        <f t="shared" si="15"/>
        <v>0</v>
      </c>
      <c r="V114" s="695">
        <f t="shared" si="16"/>
        <v>0</v>
      </c>
      <c r="W114" s="695">
        <f t="shared" si="17"/>
        <v>0</v>
      </c>
      <c r="X114" s="674"/>
      <c r="Y114" s="674"/>
      <c r="Z114" s="674"/>
      <c r="AA114" s="615"/>
    </row>
    <row r="115" spans="1:27" ht="14.25" hidden="1">
      <c r="A115" s="615"/>
      <c r="B115" s="674"/>
      <c r="C115" s="694"/>
      <c r="D115" s="694"/>
      <c r="E115" s="694"/>
      <c r="F115" s="694"/>
      <c r="G115" s="694"/>
      <c r="H115" s="694"/>
      <c r="I115" s="694"/>
      <c r="J115" s="694"/>
      <c r="K115" s="694">
        <f t="shared" si="14"/>
        <v>0</v>
      </c>
      <c r="L115" s="694">
        <f>IF(AND($M$15&gt;=0.1,$M$15&lt;0.325),I$15,0)</f>
        <v>0</v>
      </c>
      <c r="M115" s="694">
        <f>IF(AND($M$15&gt;=0.1,$M$15&lt;0.325),J$15,0)</f>
        <v>0</v>
      </c>
      <c r="N115" s="694">
        <f>IF(AND($M$15&gt;=0.1,$M$15&lt;0.325),K$15,0)</f>
        <v>0</v>
      </c>
      <c r="O115" s="673">
        <f>IF(AND($M$15&gt;=0.1,$M$15&lt;0.325),L$15,0)</f>
        <v>0</v>
      </c>
      <c r="P115" s="674" t="s">
        <v>640</v>
      </c>
      <c r="Q115" s="673">
        <v>115</v>
      </c>
      <c r="R115" s="673">
        <f>D$15*0.91</f>
        <v>0</v>
      </c>
      <c r="S115" s="673">
        <f>R115*Y$62</f>
        <v>0</v>
      </c>
      <c r="T115" s="673">
        <v>0.15</v>
      </c>
      <c r="U115" s="673">
        <f t="shared" si="15"/>
        <v>0</v>
      </c>
      <c r="V115" s="695">
        <f t="shared" si="16"/>
        <v>0</v>
      </c>
      <c r="W115" s="695">
        <f t="shared" si="17"/>
        <v>0</v>
      </c>
      <c r="X115" s="674"/>
      <c r="Y115" s="674"/>
      <c r="Z115" s="674"/>
      <c r="AA115" s="615"/>
    </row>
    <row r="116" spans="1:27" ht="14.25" hidden="1">
      <c r="A116" s="615"/>
      <c r="B116" s="674"/>
      <c r="C116" s="694"/>
      <c r="D116" s="694"/>
      <c r="E116" s="694"/>
      <c r="F116" s="694"/>
      <c r="G116" s="694"/>
      <c r="H116" s="694"/>
      <c r="I116" s="694"/>
      <c r="J116" s="694"/>
      <c r="K116" s="694">
        <f t="shared" si="14"/>
        <v>0</v>
      </c>
      <c r="L116" s="694">
        <f>IF(AND($M$15&gt;=0.325,$M$15&lt;0.55),I$15,0)</f>
        <v>0</v>
      </c>
      <c r="M116" s="694">
        <f>IF(AND($M$15&gt;=0.325,$M$15&lt;0.55),J$15,0)</f>
        <v>0</v>
      </c>
      <c r="N116" s="694">
        <f>IF(AND($M$15&gt;=0.325,$M$15&lt;0.55),K$15,0)</f>
        <v>0</v>
      </c>
      <c r="O116" s="673">
        <f>IF(AND($M$15&gt;=0.325,$M$15&lt;0.55),L$15,0)</f>
        <v>0</v>
      </c>
      <c r="P116" s="674" t="s">
        <v>653</v>
      </c>
      <c r="Q116" s="673">
        <v>116</v>
      </c>
      <c r="R116" s="673">
        <f>D$15*0.87</f>
        <v>0</v>
      </c>
      <c r="S116" s="673">
        <f>R116*Y$58</f>
        <v>0</v>
      </c>
      <c r="T116" s="673">
        <v>0.5</v>
      </c>
      <c r="U116" s="673">
        <f t="shared" si="15"/>
        <v>0</v>
      </c>
      <c r="V116" s="695">
        <f t="shared" si="16"/>
        <v>0</v>
      </c>
      <c r="W116" s="695">
        <f t="shared" si="17"/>
        <v>0</v>
      </c>
      <c r="X116" s="674"/>
      <c r="Y116" s="674"/>
      <c r="Z116" s="674"/>
      <c r="AA116" s="615"/>
    </row>
    <row r="117" spans="1:27" ht="14.25" hidden="1">
      <c r="A117" s="615"/>
      <c r="B117" s="674"/>
      <c r="C117" s="694"/>
      <c r="D117" s="694"/>
      <c r="E117" s="694"/>
      <c r="F117" s="694"/>
      <c r="G117" s="694"/>
      <c r="H117" s="694"/>
      <c r="I117" s="694"/>
      <c r="J117" s="694"/>
      <c r="K117" s="694">
        <f t="shared" si="14"/>
        <v>0</v>
      </c>
      <c r="L117" s="694">
        <f>IF(AND($M$15&gt;=0.55,$M$15&lt;0.625),I$15,0)</f>
        <v>0</v>
      </c>
      <c r="M117" s="694">
        <f>IF(AND($M$15&gt;=0.55,$M$15&lt;0.625),J$15,0)</f>
        <v>0</v>
      </c>
      <c r="N117" s="694">
        <f>IF(AND($M$15&gt;=0.55,$M$15&lt;0.625),K$15,0)</f>
        <v>0</v>
      </c>
      <c r="O117" s="673">
        <f>IF(AND($M$15&gt;=0.55,$M$15&lt;0.625),L$15,0)</f>
        <v>0</v>
      </c>
      <c r="P117" s="674" t="s">
        <v>634</v>
      </c>
      <c r="Q117" s="673">
        <v>117</v>
      </c>
      <c r="R117" s="673">
        <f>D$15*0.87</f>
        <v>0</v>
      </c>
      <c r="S117" s="673">
        <f>R117*Y$59</f>
        <v>0</v>
      </c>
      <c r="T117" s="673">
        <v>0.60000000000000009</v>
      </c>
      <c r="U117" s="673">
        <f t="shared" si="15"/>
        <v>0</v>
      </c>
      <c r="V117" s="695">
        <f t="shared" si="16"/>
        <v>0</v>
      </c>
      <c r="W117" s="695">
        <f t="shared" si="17"/>
        <v>0</v>
      </c>
      <c r="X117" s="674"/>
      <c r="Y117" s="674"/>
      <c r="Z117" s="674"/>
      <c r="AA117" s="615"/>
    </row>
    <row r="118" spans="1:27" ht="14.25" hidden="1">
      <c r="A118" s="615"/>
      <c r="B118" s="674"/>
      <c r="C118" s="694"/>
      <c r="D118" s="694"/>
      <c r="E118" s="694"/>
      <c r="F118" s="694"/>
      <c r="G118" s="694"/>
      <c r="H118" s="694"/>
      <c r="I118" s="694"/>
      <c r="J118" s="694"/>
      <c r="K118" s="694">
        <f t="shared" si="14"/>
        <v>0</v>
      </c>
      <c r="L118" s="694">
        <f>IF(AND($M$15&gt;=0.625,$M$15&lt;0.775),I$15,0)</f>
        <v>0</v>
      </c>
      <c r="M118" s="694">
        <f>IF(AND($M$15&gt;=0.625,$M$15&lt;0.775),J$15,0)</f>
        <v>0</v>
      </c>
      <c r="N118" s="694">
        <f>IF(AND($M$15&gt;=0.625,$M$15&lt;0.775),K$15,0)</f>
        <v>0</v>
      </c>
      <c r="O118" s="673">
        <f>IF(AND($M$15&gt;=0.625,$M$15&lt;0.775),L$15,0)</f>
        <v>0</v>
      </c>
      <c r="P118" s="674" t="s">
        <v>636</v>
      </c>
      <c r="Q118" s="673">
        <v>118</v>
      </c>
      <c r="R118" s="673">
        <f>D$15*0.87</f>
        <v>0</v>
      </c>
      <c r="S118" s="673">
        <f>R118*Y$60</f>
        <v>0</v>
      </c>
      <c r="T118" s="673">
        <v>0.65</v>
      </c>
      <c r="U118" s="673">
        <f t="shared" si="15"/>
        <v>0</v>
      </c>
      <c r="V118" s="695">
        <f t="shared" si="16"/>
        <v>0</v>
      </c>
      <c r="W118" s="695">
        <f t="shared" si="17"/>
        <v>0</v>
      </c>
      <c r="X118" s="674"/>
      <c r="Y118" s="674"/>
      <c r="Z118" s="674"/>
      <c r="AA118" s="615"/>
    </row>
    <row r="119" spans="1:27" ht="14.25" hidden="1">
      <c r="A119" s="615"/>
      <c r="B119" s="674"/>
      <c r="C119" s="694"/>
      <c r="D119" s="694"/>
      <c r="E119" s="694"/>
      <c r="F119" s="694"/>
      <c r="G119" s="694"/>
      <c r="H119" s="694"/>
      <c r="I119" s="694"/>
      <c r="J119" s="694"/>
      <c r="K119" s="694">
        <f t="shared" si="14"/>
        <v>0</v>
      </c>
      <c r="L119" s="694">
        <f>IF($M$15&gt;=0.775,I$15,0)</f>
        <v>0</v>
      </c>
      <c r="M119" s="694">
        <f>IF($M$15&gt;=0.775,J$15,0)</f>
        <v>0</v>
      </c>
      <c r="N119" s="694">
        <f>IF($M$15&gt;=0.775,K$15,0)</f>
        <v>0</v>
      </c>
      <c r="O119" s="673">
        <f>IF($M$15&gt;=0.775,L$15,0)</f>
        <v>0</v>
      </c>
      <c r="P119" s="674" t="s">
        <v>638</v>
      </c>
      <c r="Q119" s="673">
        <v>119</v>
      </c>
      <c r="R119" s="673">
        <f>D$15*0.87</f>
        <v>0</v>
      </c>
      <c r="S119" s="673">
        <f>R119*Y$61</f>
        <v>0</v>
      </c>
      <c r="T119" s="673">
        <v>0.9</v>
      </c>
      <c r="U119" s="673">
        <f t="shared" si="15"/>
        <v>0</v>
      </c>
      <c r="V119" s="695">
        <f t="shared" si="16"/>
        <v>0</v>
      </c>
      <c r="W119" s="695">
        <f t="shared" si="17"/>
        <v>0</v>
      </c>
      <c r="X119" s="674"/>
      <c r="Y119" s="674"/>
      <c r="Z119" s="674"/>
      <c r="AA119" s="615"/>
    </row>
    <row r="120" spans="1:27" ht="14.25" hidden="1">
      <c r="A120" s="615"/>
      <c r="B120" s="696"/>
      <c r="C120" s="697"/>
      <c r="D120" s="697"/>
      <c r="E120" s="697"/>
      <c r="F120" s="697"/>
      <c r="G120" s="697"/>
      <c r="H120" s="697"/>
      <c r="I120" s="697"/>
      <c r="J120" s="697"/>
      <c r="K120" s="697"/>
      <c r="L120" s="697"/>
      <c r="M120" s="697"/>
      <c r="N120" s="697"/>
      <c r="O120" s="698"/>
      <c r="P120" s="674"/>
      <c r="Q120" s="673">
        <v>120</v>
      </c>
      <c r="R120" s="673"/>
      <c r="S120" s="673"/>
      <c r="T120" s="673" t="s">
        <v>655</v>
      </c>
      <c r="U120" s="673">
        <f>SUM(U112:U119)</f>
        <v>0</v>
      </c>
      <c r="V120" s="695">
        <f>SUM(V112:V119)</f>
        <v>0</v>
      </c>
      <c r="W120" s="695">
        <f>SUM(W112:W119)</f>
        <v>0</v>
      </c>
      <c r="X120" s="674"/>
      <c r="Y120" s="674"/>
      <c r="Z120" s="674"/>
      <c r="AA120" s="615"/>
    </row>
    <row r="121" spans="1:27" hidden="1">
      <c r="A121" s="615"/>
      <c r="B121" s="680"/>
      <c r="C121" s="694"/>
      <c r="D121" s="699">
        <f>SUM(D58:D119)</f>
        <v>0</v>
      </c>
      <c r="E121" s="699">
        <f>SUM(E58:E119)</f>
        <v>0</v>
      </c>
      <c r="F121" s="699">
        <f>SUM(F58:F119)</f>
        <v>0</v>
      </c>
      <c r="G121" s="699"/>
      <c r="H121" s="699">
        <f>SUM(H58:H119)</f>
        <v>0</v>
      </c>
      <c r="I121" s="699">
        <f>SUM(I58:I119)</f>
        <v>0</v>
      </c>
      <c r="J121" s="699">
        <f>SUM(J58:J119)</f>
        <v>0</v>
      </c>
      <c r="K121" s="694"/>
      <c r="L121" s="694">
        <f>SUM(L58:L119)</f>
        <v>0</v>
      </c>
      <c r="M121" s="694">
        <f>SUM(M58:M119)</f>
        <v>0</v>
      </c>
      <c r="N121" s="694">
        <f>SUM(N58:N119)</f>
        <v>0</v>
      </c>
      <c r="O121" s="694">
        <f>SUM(O58:O119)</f>
        <v>0</v>
      </c>
      <c r="P121" s="615"/>
      <c r="Q121" s="615"/>
      <c r="R121" s="615"/>
      <c r="S121" s="615"/>
      <c r="T121" s="615"/>
      <c r="U121" s="615"/>
      <c r="V121" s="615"/>
      <c r="W121" s="615"/>
      <c r="X121" s="615"/>
      <c r="Y121" s="615"/>
      <c r="Z121" s="615"/>
      <c r="AA121" s="615"/>
    </row>
    <row r="122" spans="1:27" ht="14.25" hidden="1">
      <c r="A122" s="615"/>
      <c r="B122" s="615"/>
      <c r="C122" s="615"/>
      <c r="D122" s="615"/>
      <c r="E122" s="615"/>
      <c r="F122" s="615"/>
      <c r="G122" s="615"/>
      <c r="H122" s="615"/>
      <c r="I122" s="615"/>
      <c r="J122" s="615"/>
      <c r="K122" s="615"/>
      <c r="L122" s="673" t="s">
        <v>168</v>
      </c>
      <c r="M122" s="673" t="s">
        <v>180</v>
      </c>
      <c r="N122" s="673" t="s">
        <v>124</v>
      </c>
      <c r="O122" s="673" t="s">
        <v>125</v>
      </c>
      <c r="P122" s="615"/>
      <c r="Q122" s="615"/>
      <c r="R122" s="615"/>
      <c r="S122" s="615"/>
      <c r="T122" s="615"/>
      <c r="U122" s="615"/>
      <c r="V122" s="615"/>
      <c r="W122" s="615"/>
      <c r="X122" s="615"/>
      <c r="Y122" s="615"/>
      <c r="Z122" s="615"/>
      <c r="AA122" s="615"/>
    </row>
    <row r="123" spans="1:27" ht="14.25" hidden="1">
      <c r="A123" s="615"/>
      <c r="B123" s="674" t="s">
        <v>356</v>
      </c>
      <c r="C123" s="674" t="s">
        <v>162</v>
      </c>
      <c r="D123" s="674" t="s">
        <v>163</v>
      </c>
      <c r="E123" s="674" t="s">
        <v>164</v>
      </c>
      <c r="F123" s="674" t="s">
        <v>165</v>
      </c>
      <c r="G123" s="674" t="s">
        <v>23</v>
      </c>
      <c r="H123" s="674" t="s">
        <v>656</v>
      </c>
      <c r="I123" s="674" t="s">
        <v>167</v>
      </c>
      <c r="J123" s="700"/>
      <c r="K123" s="615"/>
      <c r="L123" s="615"/>
      <c r="M123" s="615"/>
      <c r="N123" s="615"/>
      <c r="O123" s="615"/>
      <c r="P123" s="615"/>
      <c r="Q123" s="615"/>
      <c r="R123" s="615"/>
      <c r="S123" s="615"/>
      <c r="T123" s="615"/>
      <c r="U123" s="615"/>
      <c r="V123" s="615"/>
      <c r="W123" s="615"/>
      <c r="X123" s="615"/>
      <c r="Y123" s="615"/>
      <c r="Z123" s="615"/>
      <c r="AA123" s="615"/>
    </row>
    <row r="124" spans="1:27" ht="14.25" hidden="1">
      <c r="A124" s="615"/>
      <c r="B124" s="674" t="s">
        <v>657</v>
      </c>
      <c r="C124" s="674">
        <f>K59+K65+K71+K77+K82+K83+K86+K87+K90+K91</f>
        <v>0</v>
      </c>
      <c r="D124" s="674">
        <f>K58+K61+K64+K67+K70+K73+K76+K79</f>
        <v>0</v>
      </c>
      <c r="E124" s="674">
        <f>K60+K66+K72+K78</f>
        <v>0</v>
      </c>
      <c r="F124" s="674">
        <f>K62+K68+K74+K80</f>
        <v>0</v>
      </c>
      <c r="G124" s="674">
        <f>K84+K88+K92</f>
        <v>0</v>
      </c>
      <c r="H124" s="674"/>
      <c r="I124" s="674"/>
      <c r="J124" s="700">
        <f>SUM(C124:I124)</f>
        <v>0</v>
      </c>
      <c r="K124" s="615"/>
      <c r="L124" s="615"/>
      <c r="M124" s="615"/>
      <c r="N124" s="615"/>
      <c r="O124" s="615"/>
      <c r="P124" s="615"/>
      <c r="Q124" s="615"/>
      <c r="R124" s="615"/>
      <c r="S124" s="615"/>
      <c r="T124" s="615"/>
      <c r="U124" s="615"/>
      <c r="V124" s="615"/>
      <c r="W124" s="615"/>
      <c r="X124" s="615"/>
      <c r="Y124" s="615"/>
      <c r="Z124" s="615"/>
      <c r="AA124" s="615"/>
    </row>
    <row r="125" spans="1:27" ht="14.25" hidden="1">
      <c r="A125" s="615"/>
      <c r="B125" s="674" t="s">
        <v>658</v>
      </c>
      <c r="C125" s="674">
        <f>K98+K107+K116</f>
        <v>0</v>
      </c>
      <c r="D125" s="674">
        <f>K94+K100+K103+K109+K112+K118</f>
        <v>0</v>
      </c>
      <c r="E125" s="674">
        <f>K99+K108+K117</f>
        <v>0</v>
      </c>
      <c r="F125" s="674">
        <f>K101+K110+K119</f>
        <v>0</v>
      </c>
      <c r="G125" s="674">
        <f>K97+K106+K115</f>
        <v>0</v>
      </c>
      <c r="H125" s="674">
        <f>K96+K105+K114</f>
        <v>0</v>
      </c>
      <c r="I125" s="674">
        <f>K95+K104+K113</f>
        <v>0</v>
      </c>
      <c r="J125" s="700">
        <f>SUM(C125:I125)</f>
        <v>0</v>
      </c>
      <c r="K125" s="615"/>
      <c r="L125" s="615"/>
      <c r="M125" s="615"/>
      <c r="N125" s="615"/>
      <c r="O125" s="615"/>
      <c r="P125" s="615"/>
      <c r="Q125" s="615"/>
      <c r="R125" s="615"/>
      <c r="S125" s="615"/>
      <c r="T125" s="615"/>
      <c r="U125" s="615"/>
      <c r="V125" s="615"/>
      <c r="W125" s="615"/>
      <c r="X125" s="615"/>
      <c r="Y125" s="615"/>
      <c r="Z125" s="615"/>
      <c r="AA125" s="615"/>
    </row>
    <row r="126" spans="1:27" ht="14.25" hidden="1">
      <c r="A126" s="615"/>
      <c r="B126" s="674" t="s">
        <v>659</v>
      </c>
      <c r="C126" s="674">
        <f t="shared" ref="C126:I126" si="18">SUM(C124:C125)</f>
        <v>0</v>
      </c>
      <c r="D126" s="674">
        <f t="shared" si="18"/>
        <v>0</v>
      </c>
      <c r="E126" s="674">
        <f t="shared" si="18"/>
        <v>0</v>
      </c>
      <c r="F126" s="674">
        <f t="shared" si="18"/>
        <v>0</v>
      </c>
      <c r="G126" s="674">
        <f t="shared" si="18"/>
        <v>0</v>
      </c>
      <c r="H126" s="674">
        <f t="shared" si="18"/>
        <v>0</v>
      </c>
      <c r="I126" s="674">
        <f t="shared" si="18"/>
        <v>0</v>
      </c>
      <c r="J126" s="700">
        <f>SUM(C126:I126)</f>
        <v>0</v>
      </c>
      <c r="K126" s="615"/>
      <c r="L126" s="615"/>
      <c r="M126" s="615"/>
      <c r="N126" s="615"/>
      <c r="O126" s="615"/>
      <c r="P126" s="615"/>
      <c r="Q126" s="615"/>
      <c r="R126" s="615"/>
      <c r="S126" s="615"/>
      <c r="T126" s="615"/>
      <c r="U126" s="615"/>
      <c r="V126" s="615"/>
      <c r="W126" s="615"/>
      <c r="X126" s="615"/>
      <c r="Y126" s="615"/>
      <c r="Z126" s="615"/>
      <c r="AA126" s="615"/>
    </row>
    <row r="127" spans="1:27" hidden="1">
      <c r="A127" s="615"/>
      <c r="B127" s="615"/>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row>
    <row r="128" spans="1:27">
      <c r="A128" s="615"/>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row>
  </sheetData>
  <sheetProtection password="CC3A" sheet="1" objects="1" scenarios="1" formatCells="0" formatRows="0"/>
  <mergeCells count="39">
    <mergeCell ref="M48:N48"/>
    <mergeCell ref="M49:N49"/>
    <mergeCell ref="M42:N42"/>
    <mergeCell ref="M43:N43"/>
    <mergeCell ref="M44:N44"/>
    <mergeCell ref="M45:N45"/>
    <mergeCell ref="M46:N46"/>
    <mergeCell ref="M47:N47"/>
    <mergeCell ref="M41:N41"/>
    <mergeCell ref="M30:N30"/>
    <mergeCell ref="M31:N31"/>
    <mergeCell ref="M32:N32"/>
    <mergeCell ref="M33:N33"/>
    <mergeCell ref="M34:N34"/>
    <mergeCell ref="M35:N35"/>
    <mergeCell ref="M36:N36"/>
    <mergeCell ref="M37:N37"/>
    <mergeCell ref="M38:N38"/>
    <mergeCell ref="M39:N39"/>
    <mergeCell ref="M40:N40"/>
    <mergeCell ref="B24:B25"/>
    <mergeCell ref="E29:F29"/>
    <mergeCell ref="G29:H29"/>
    <mergeCell ref="I29:J29"/>
    <mergeCell ref="K29:L29"/>
    <mergeCell ref="M29:N29"/>
    <mergeCell ref="G18:H18"/>
    <mergeCell ref="M18:N18"/>
    <mergeCell ref="G19:H20"/>
    <mergeCell ref="M19:N20"/>
    <mergeCell ref="G21:H21"/>
    <mergeCell ref="M21:N21"/>
    <mergeCell ref="G17:H17"/>
    <mergeCell ref="M17:N17"/>
    <mergeCell ref="J1:K1"/>
    <mergeCell ref="L1:M1"/>
    <mergeCell ref="S13:T13"/>
    <mergeCell ref="S14:T14"/>
    <mergeCell ref="S15:T15"/>
  </mergeCells>
  <hyperlinks>
    <hyperlink ref="J1" location="Tiere!B3" display="◄"/>
    <hyperlink ref="L1" location="Hofdung!A3" display="  ►"/>
    <hyperlink ref="J1:K1" location="Hofdung!B3" display="◄"/>
    <hyperlink ref="L1:M1" location="Mineral!A3" display="  ►"/>
  </hyperlinks>
  <pageMargins left="0.62992125984251968" right="0.55118110236220474" top="0.27559055118110237" bottom="0.39370078740157483" header="0.51181102362204722" footer="0.19685039370078741"/>
  <pageSetup paperSize="9" scale="82" firstPageNumber="0" pageOrder="overThenDown" orientation="landscape" blackAndWhite="1" horizontalDpi="300" verticalDpi="300"/>
  <headerFooter alignWithMargins="0">
    <oddFooter>&amp;L&amp;11&amp;F&amp;C&amp;A&amp;R&amp;P von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A52"/>
  <sheetViews>
    <sheetView showZeros="0" zoomScale="80" zoomScaleNormal="80" zoomScalePageLayoutView="80" workbookViewId="0">
      <selection activeCell="I1" sqref="I1:J1"/>
    </sheetView>
  </sheetViews>
  <sheetFormatPr baseColWidth="10" defaultColWidth="12.28515625" defaultRowHeight="12.75"/>
  <cols>
    <col min="1" max="1" width="29.7109375" customWidth="1"/>
    <col min="2" max="2" width="7.85546875" customWidth="1"/>
    <col min="3" max="3" width="9.85546875" customWidth="1"/>
    <col min="4" max="6" width="8.7109375" customWidth="1"/>
    <col min="7" max="9" width="10.42578125" customWidth="1"/>
    <col min="10" max="10" width="9.85546875" customWidth="1"/>
    <col min="11" max="11" width="6.42578125" customWidth="1"/>
    <col min="12" max="12" width="8.85546875" customWidth="1"/>
    <col min="13" max="13" width="9.7109375" customWidth="1"/>
    <col min="14" max="14" width="10.140625" customWidth="1"/>
    <col min="15" max="15" width="11.7109375" customWidth="1"/>
    <col min="16" max="16" width="9.85546875" customWidth="1"/>
    <col min="17" max="17" width="15" customWidth="1"/>
    <col min="18" max="18" width="2.28515625" customWidth="1"/>
    <col min="19" max="19" width="11.42578125" customWidth="1"/>
    <col min="20" max="20" width="8.85546875" customWidth="1"/>
    <col min="21" max="23" width="7.42578125" customWidth="1"/>
    <col min="24" max="25" width="9.42578125" customWidth="1"/>
    <col min="26" max="28" width="8.7109375" customWidth="1"/>
  </cols>
  <sheetData>
    <row r="1" spans="1:27" ht="27.75" customHeight="1">
      <c r="A1" s="904" t="s">
        <v>772</v>
      </c>
      <c r="B1" s="904"/>
      <c r="C1" s="905"/>
      <c r="D1" s="905"/>
      <c r="E1" s="905"/>
      <c r="F1" s="905"/>
      <c r="G1" s="906"/>
      <c r="H1" s="906"/>
      <c r="I1" s="3158" t="s">
        <v>413</v>
      </c>
      <c r="J1" s="3159"/>
      <c r="L1" s="3158" t="s">
        <v>381</v>
      </c>
      <c r="M1" s="3159"/>
      <c r="N1" s="3160" t="s">
        <v>773</v>
      </c>
      <c r="O1" s="3160"/>
      <c r="P1" s="3160"/>
      <c r="Q1" s="3160"/>
      <c r="S1" s="3161" t="s">
        <v>774</v>
      </c>
      <c r="T1" s="3161"/>
      <c r="U1" s="3161"/>
      <c r="V1" s="3161"/>
      <c r="W1" s="3161"/>
    </row>
    <row r="2" spans="1:27" ht="28.5" customHeight="1">
      <c r="A2" s="3153" t="s">
        <v>1755</v>
      </c>
      <c r="B2" s="3154"/>
      <c r="C2" s="908">
        <f>N_Bedarf!I29</f>
        <v>0</v>
      </c>
      <c r="D2" s="3155" t="s">
        <v>775</v>
      </c>
      <c r="E2" s="3155"/>
      <c r="F2" s="909">
        <f>Tiere!G34</f>
        <v>0</v>
      </c>
      <c r="G2" s="907" t="s">
        <v>776</v>
      </c>
      <c r="H2" s="910" t="str">
        <f>N_Bedarf!L29</f>
        <v>Ok!</v>
      </c>
      <c r="I2" s="907" t="s">
        <v>777</v>
      </c>
      <c r="J2" s="909">
        <f>IF(H50=0,0,H50/Betrieb!E14)</f>
        <v>0</v>
      </c>
      <c r="L2" s="3156" t="s">
        <v>778</v>
      </c>
      <c r="M2" s="3156"/>
      <c r="N2" s="3156"/>
      <c r="O2" s="3156"/>
      <c r="P2" s="3156"/>
      <c r="Q2" s="3156"/>
      <c r="S2" s="3161"/>
      <c r="T2" s="3161"/>
      <c r="U2" s="3161"/>
      <c r="V2" s="3161"/>
      <c r="W2" s="3161"/>
      <c r="X2" s="3162" t="s">
        <v>779</v>
      </c>
      <c r="Y2" s="3162"/>
      <c r="Z2" s="3162"/>
      <c r="AA2" s="784"/>
    </row>
    <row r="3" spans="1:27" ht="26.1" customHeight="1">
      <c r="A3" s="911" t="s">
        <v>780</v>
      </c>
      <c r="B3" s="1683" t="s">
        <v>1756</v>
      </c>
      <c r="C3" s="912" t="s">
        <v>168</v>
      </c>
      <c r="D3" s="913" t="s">
        <v>781</v>
      </c>
      <c r="E3" s="913" t="s">
        <v>782</v>
      </c>
      <c r="F3" s="913" t="s">
        <v>783</v>
      </c>
      <c r="G3" s="913" t="s">
        <v>784</v>
      </c>
      <c r="H3" s="913" t="s">
        <v>785</v>
      </c>
      <c r="I3" s="913" t="s">
        <v>786</v>
      </c>
      <c r="J3" s="914" t="s">
        <v>787</v>
      </c>
      <c r="L3" s="3163" t="s">
        <v>788</v>
      </c>
      <c r="M3" s="3163"/>
      <c r="N3" s="3164" t="s">
        <v>1723</v>
      </c>
      <c r="O3" s="3164"/>
      <c r="P3" s="3165" t="s">
        <v>789</v>
      </c>
      <c r="Q3" s="3165"/>
      <c r="S3" s="3166" t="s">
        <v>790</v>
      </c>
      <c r="T3" s="1510" t="s">
        <v>791</v>
      </c>
      <c r="U3" s="1511" t="s">
        <v>792</v>
      </c>
      <c r="V3" s="1512"/>
      <c r="W3" s="1512"/>
      <c r="X3" s="916" t="s">
        <v>180</v>
      </c>
      <c r="Y3" s="915" t="s">
        <v>793</v>
      </c>
      <c r="Z3" s="915" t="s">
        <v>794</v>
      </c>
    </row>
    <row r="4" spans="1:27" ht="15.75" customHeight="1">
      <c r="A4" s="1714" t="s">
        <v>795</v>
      </c>
      <c r="B4" s="1701">
        <f>IF(ISNA(Tabelle1!Q179),0,Tabelle1!Q179)</f>
        <v>0</v>
      </c>
      <c r="C4" s="1747"/>
      <c r="D4" s="1717">
        <v>0.27</v>
      </c>
      <c r="E4" s="1717"/>
      <c r="F4" s="1717"/>
      <c r="G4" s="1721">
        <f>$C4*D4</f>
        <v>0</v>
      </c>
      <c r="H4" s="1721">
        <f t="shared" ref="H4:H49" si="0">$C4*E4</f>
        <v>0</v>
      </c>
      <c r="I4" s="1721">
        <f t="shared" ref="I4:I49" si="1">$C4*F4</f>
        <v>0</v>
      </c>
      <c r="J4" s="917">
        <v>1</v>
      </c>
      <c r="L4" s="919">
        <f>T5</f>
        <v>0</v>
      </c>
      <c r="M4" s="918">
        <f t="shared" ref="M4:M49" si="2">C4*L4/1000</f>
        <v>0</v>
      </c>
      <c r="N4" s="3164"/>
      <c r="O4" s="3164"/>
      <c r="P4" s="3165"/>
      <c r="Q4" s="3165"/>
      <c r="S4" s="3166"/>
      <c r="T4" s="1510" t="s">
        <v>796</v>
      </c>
      <c r="U4" s="1510" t="s">
        <v>180</v>
      </c>
      <c r="V4" s="1513" t="s">
        <v>1724</v>
      </c>
      <c r="W4" s="1513" t="s">
        <v>1725</v>
      </c>
      <c r="X4" s="920">
        <f>IF(ISBLANK(T6),X5,IF(ISBLANK(T5),X6,(X5+X6)/2))</f>
        <v>0</v>
      </c>
      <c r="Y4" s="920">
        <f>IF(ISBLANK($T7),Y8,IF(ISBLANK($T8),Y7,(Y7+Y8)/2))</f>
        <v>0</v>
      </c>
      <c r="Z4" s="920" t="str">
        <f>IF(ISBLANK($T9),"",Z9)</f>
        <v/>
      </c>
    </row>
    <row r="5" spans="1:27" ht="15.75" customHeight="1">
      <c r="A5" s="1722" t="s">
        <v>797</v>
      </c>
      <c r="B5" s="1702">
        <f>IF(ISNA(Tabelle1!Q180),0,Tabelle1!Q180)</f>
        <v>0</v>
      </c>
      <c r="C5" s="1747"/>
      <c r="D5" s="1725">
        <v>0.46</v>
      </c>
      <c r="E5" s="1725"/>
      <c r="F5" s="1725"/>
      <c r="G5" s="1729">
        <f t="shared" ref="G5:G49" si="3">C5*D5</f>
        <v>0</v>
      </c>
      <c r="H5" s="1729">
        <f t="shared" si="0"/>
        <v>0</v>
      </c>
      <c r="I5" s="1729">
        <f t="shared" si="1"/>
        <v>0</v>
      </c>
      <c r="J5" s="921">
        <v>1</v>
      </c>
      <c r="L5" s="923">
        <f>T6</f>
        <v>0</v>
      </c>
      <c r="M5" s="922">
        <f t="shared" si="2"/>
        <v>0</v>
      </c>
      <c r="N5" s="3164"/>
      <c r="O5" s="3164"/>
      <c r="P5" s="3165"/>
      <c r="Q5" s="3165"/>
      <c r="S5" s="924" t="s">
        <v>798</v>
      </c>
      <c r="T5" s="925"/>
      <c r="U5" s="926">
        <v>270</v>
      </c>
      <c r="V5" s="927"/>
      <c r="W5" s="927"/>
      <c r="X5" s="928">
        <f>T5/U5</f>
        <v>0</v>
      </c>
      <c r="Y5" s="929"/>
      <c r="Z5" s="929"/>
    </row>
    <row r="6" spans="1:27" ht="15.75" customHeight="1">
      <c r="A6" s="1722" t="s">
        <v>799</v>
      </c>
      <c r="B6" s="1702">
        <f>IF(ISNA(Tabelle1!Q181),0,Tabelle1!Q181)</f>
        <v>0</v>
      </c>
      <c r="C6" s="1747"/>
      <c r="D6" s="1725">
        <v>0.27</v>
      </c>
      <c r="E6" s="1725"/>
      <c r="F6" s="1725"/>
      <c r="G6" s="1729">
        <f t="shared" si="3"/>
        <v>0</v>
      </c>
      <c r="H6" s="1729">
        <f t="shared" si="0"/>
        <v>0</v>
      </c>
      <c r="I6" s="1729">
        <f t="shared" si="1"/>
        <v>0</v>
      </c>
      <c r="J6" s="921">
        <v>1</v>
      </c>
      <c r="L6" s="930"/>
      <c r="M6" s="922">
        <f t="shared" si="2"/>
        <v>0</v>
      </c>
      <c r="N6" s="1509" t="s">
        <v>800</v>
      </c>
      <c r="O6" s="1510" t="s">
        <v>801</v>
      </c>
      <c r="P6" s="3165"/>
      <c r="Q6" s="3165"/>
      <c r="S6" s="924" t="s">
        <v>802</v>
      </c>
      <c r="T6" s="925"/>
      <c r="U6" s="926">
        <v>460</v>
      </c>
      <c r="V6" s="927"/>
      <c r="W6" s="927"/>
      <c r="X6" s="928">
        <f>T6/U6</f>
        <v>0</v>
      </c>
      <c r="Y6" s="929"/>
      <c r="Z6" s="929"/>
    </row>
    <row r="7" spans="1:27" ht="15.75" customHeight="1">
      <c r="A7" s="1722" t="s">
        <v>803</v>
      </c>
      <c r="B7" s="1702">
        <f>IF(ISNA(Tabelle1!Q182),0,Tabelle1!Q182)</f>
        <v>0</v>
      </c>
      <c r="C7" s="1747"/>
      <c r="D7" s="1725">
        <v>0.30000000000000004</v>
      </c>
      <c r="E7" s="1725"/>
      <c r="F7" s="1725"/>
      <c r="G7" s="1729">
        <f t="shared" si="3"/>
        <v>0</v>
      </c>
      <c r="H7" s="1729">
        <f t="shared" si="0"/>
        <v>0</v>
      </c>
      <c r="I7" s="1729">
        <f t="shared" si="1"/>
        <v>0</v>
      </c>
      <c r="J7" s="921">
        <v>1</v>
      </c>
      <c r="L7" s="931"/>
      <c r="M7" s="922">
        <f t="shared" si="2"/>
        <v>0</v>
      </c>
      <c r="N7" s="932" t="str">
        <f>IF(T$13=0,"",(D7*T$13)*1000)</f>
        <v/>
      </c>
      <c r="O7" s="933">
        <f t="shared" ref="O7:O49" si="4">IF(N7="",0,N7*C7/1000)</f>
        <v>0</v>
      </c>
      <c r="P7" s="934" t="str">
        <f>IF(ISBLANK(L7),"",IF(N7="","",IF(M7="",L7-N7,-(M7-O7))))</f>
        <v/>
      </c>
      <c r="Q7" s="935"/>
      <c r="S7" s="924" t="s">
        <v>804</v>
      </c>
      <c r="T7" s="925"/>
      <c r="U7" s="926">
        <v>180</v>
      </c>
      <c r="V7" s="926">
        <v>460</v>
      </c>
      <c r="W7" s="927"/>
      <c r="X7" s="929"/>
      <c r="Y7" s="928">
        <f>(T7-(U7*X4))/V7</f>
        <v>0</v>
      </c>
      <c r="Z7" s="929"/>
    </row>
    <row r="8" spans="1:27" ht="15.75" customHeight="1">
      <c r="A8" s="1722" t="s">
        <v>805</v>
      </c>
      <c r="B8" s="1702">
        <f>IF(ISNA(Tabelle1!Q183),0,Tabelle1!Q183)</f>
        <v>0</v>
      </c>
      <c r="C8" s="1747"/>
      <c r="D8" s="1725">
        <v>0.21</v>
      </c>
      <c r="E8" s="1725"/>
      <c r="F8" s="1725"/>
      <c r="G8" s="1729">
        <f t="shared" si="3"/>
        <v>0</v>
      </c>
      <c r="H8" s="1729">
        <f t="shared" si="0"/>
        <v>0</v>
      </c>
      <c r="I8" s="1729">
        <f t="shared" si="1"/>
        <v>0</v>
      </c>
      <c r="J8" s="921">
        <v>1</v>
      </c>
      <c r="L8" s="931"/>
      <c r="M8" s="922">
        <f t="shared" si="2"/>
        <v>0</v>
      </c>
      <c r="N8" s="932" t="str">
        <f>IF(T$13=0,"",(D8*T$13)*1000)</f>
        <v/>
      </c>
      <c r="O8" s="933">
        <f t="shared" si="4"/>
        <v>0</v>
      </c>
      <c r="P8" s="936" t="str">
        <f>IF(ISBLANK(L8),"",IF(N8="","",IF(M8="",L8-N8,-(M8-O8))))</f>
        <v/>
      </c>
      <c r="Q8" s="935" t="s">
        <v>806</v>
      </c>
      <c r="S8" s="924" t="s">
        <v>807</v>
      </c>
      <c r="T8" s="925"/>
      <c r="U8" s="927"/>
      <c r="V8" s="926">
        <v>260</v>
      </c>
      <c r="W8" s="927"/>
      <c r="X8" s="929"/>
      <c r="Y8" s="928">
        <f>T8/V8</f>
        <v>0</v>
      </c>
      <c r="Z8" s="929"/>
    </row>
    <row r="9" spans="1:27" ht="15.75" customHeight="1">
      <c r="A9" s="1722" t="s">
        <v>808</v>
      </c>
      <c r="B9" s="1702">
        <f>IF(ISNA(Tabelle1!Q184),0,Tabelle1!Q184)</f>
        <v>0</v>
      </c>
      <c r="C9" s="1747"/>
      <c r="D9" s="1725">
        <v>0.33</v>
      </c>
      <c r="E9" s="1725"/>
      <c r="F9" s="1725"/>
      <c r="G9" s="1729">
        <f t="shared" si="3"/>
        <v>0</v>
      </c>
      <c r="H9" s="1729">
        <f t="shared" si="0"/>
        <v>0</v>
      </c>
      <c r="I9" s="1729">
        <f t="shared" si="1"/>
        <v>0</v>
      </c>
      <c r="J9" s="921">
        <v>1</v>
      </c>
      <c r="L9" s="931"/>
      <c r="M9" s="922">
        <f t="shared" si="2"/>
        <v>0</v>
      </c>
      <c r="N9" s="932" t="str">
        <f>IF(T$13=0,"",(D9*T$13)*1000)</f>
        <v/>
      </c>
      <c r="O9" s="933">
        <f t="shared" si="4"/>
        <v>0</v>
      </c>
      <c r="P9" s="936" t="str">
        <f>IF(ISBLANK(L9),"",IF(N9="","",IF(M9="",L9-N9,-(M9-O9))))</f>
        <v/>
      </c>
      <c r="Q9" s="935" t="s">
        <v>806</v>
      </c>
      <c r="S9" s="924" t="s">
        <v>809</v>
      </c>
      <c r="T9" s="925"/>
      <c r="U9" s="927"/>
      <c r="V9" s="927"/>
      <c r="W9" s="926">
        <v>600</v>
      </c>
      <c r="X9" s="929"/>
      <c r="Y9" s="929"/>
      <c r="Z9" s="928">
        <f>T9/W9</f>
        <v>0</v>
      </c>
    </row>
    <row r="10" spans="1:27" ht="15.75" customHeight="1">
      <c r="A10" s="1730" t="s">
        <v>810</v>
      </c>
      <c r="B10" s="1703">
        <f>IF(ISNA(Tabelle1!Q185),0,Tabelle1!Q185)</f>
        <v>0</v>
      </c>
      <c r="C10" s="1747"/>
      <c r="D10" s="1733">
        <v>0.2</v>
      </c>
      <c r="E10" s="1733"/>
      <c r="F10" s="1733"/>
      <c r="G10" s="1737">
        <f t="shared" si="3"/>
        <v>0</v>
      </c>
      <c r="H10" s="1737">
        <f t="shared" si="0"/>
        <v>0</v>
      </c>
      <c r="I10" s="1737">
        <f t="shared" si="1"/>
        <v>0</v>
      </c>
      <c r="J10" s="937"/>
      <c r="L10" s="939"/>
      <c r="M10" s="938">
        <f t="shared" si="2"/>
        <v>0</v>
      </c>
      <c r="N10" s="940" t="str">
        <f>IF(T$13=0,"",(D10*T$13)*1000)</f>
        <v/>
      </c>
      <c r="O10" s="941">
        <f t="shared" si="4"/>
        <v>0</v>
      </c>
      <c r="P10" s="942" t="str">
        <f>IF(ISBLANK(L10),"",IF(N10="","",IF(M10="",L10-N10,-(M10-O10))))</f>
        <v/>
      </c>
      <c r="Q10" s="943" t="s">
        <v>811</v>
      </c>
    </row>
    <row r="11" spans="1:27" ht="15.75" customHeight="1">
      <c r="A11" s="1714" t="s">
        <v>812</v>
      </c>
      <c r="B11" s="1702">
        <f>IF(ISNA(Tabelle1!Q186),0,Tabelle1!Q186)</f>
        <v>0</v>
      </c>
      <c r="C11" s="1715"/>
      <c r="D11" s="1717"/>
      <c r="E11" s="1717">
        <v>0.28999999999999998</v>
      </c>
      <c r="F11" s="1717"/>
      <c r="G11" s="1721">
        <f t="shared" si="3"/>
        <v>0</v>
      </c>
      <c r="H11" s="1721">
        <f t="shared" si="0"/>
        <v>0</v>
      </c>
      <c r="I11" s="1721">
        <f t="shared" si="1"/>
        <v>0</v>
      </c>
      <c r="J11" s="917">
        <v>1</v>
      </c>
      <c r="L11" s="944"/>
      <c r="M11" s="918">
        <f t="shared" si="2"/>
        <v>0</v>
      </c>
      <c r="N11" s="932" t="str">
        <f>IF(T$14=0,"",(E11*T$14)*1000)</f>
        <v/>
      </c>
      <c r="O11" s="945">
        <f t="shared" si="4"/>
        <v>0</v>
      </c>
      <c r="P11" s="936" t="str">
        <f>IF(ISBLANK(L11),"",IF(N11="","",IF(M11="",L11-N11,-(M11-O11))))</f>
        <v/>
      </c>
      <c r="Q11" s="935" t="s">
        <v>811</v>
      </c>
      <c r="S11" s="3157" t="s">
        <v>813</v>
      </c>
      <c r="T11" s="3157"/>
      <c r="U11" s="3157"/>
      <c r="V11" s="3157"/>
      <c r="W11" s="3157"/>
    </row>
    <row r="12" spans="1:27" ht="15.75" customHeight="1">
      <c r="A12" s="1722" t="s">
        <v>807</v>
      </c>
      <c r="B12" s="1702">
        <f>IF(ISNA(Tabelle1!Q187),0,Tabelle1!Q187)</f>
        <v>0</v>
      </c>
      <c r="C12" s="1723"/>
      <c r="D12" s="1725"/>
      <c r="E12" s="1725">
        <v>0.26</v>
      </c>
      <c r="F12" s="1725"/>
      <c r="G12" s="1729">
        <f t="shared" si="3"/>
        <v>0</v>
      </c>
      <c r="H12" s="1729">
        <f t="shared" si="0"/>
        <v>0</v>
      </c>
      <c r="I12" s="1729">
        <f t="shared" si="1"/>
        <v>0</v>
      </c>
      <c r="J12" s="921">
        <v>1</v>
      </c>
      <c r="L12" s="919">
        <f>T8</f>
        <v>0</v>
      </c>
      <c r="M12" s="922">
        <f t="shared" si="2"/>
        <v>0</v>
      </c>
      <c r="N12" s="932" t="str">
        <f>IF(T$14=0,"",(E12*T$14)*1000)</f>
        <v/>
      </c>
      <c r="O12" s="933">
        <f t="shared" si="4"/>
        <v>0</v>
      </c>
      <c r="P12" s="946" t="str">
        <f>IF(L12=0,"",IF(M12=0,L12-N12,M12-O12))</f>
        <v/>
      </c>
      <c r="Q12" s="935" t="s">
        <v>811</v>
      </c>
      <c r="S12" s="3157"/>
      <c r="T12" s="3157"/>
      <c r="U12" s="3157"/>
      <c r="V12" s="3157"/>
      <c r="W12" s="3157"/>
    </row>
    <row r="13" spans="1:27" ht="15.75" customHeight="1">
      <c r="A13" s="1722" t="s">
        <v>814</v>
      </c>
      <c r="B13" s="1702">
        <f>IF(ISNA(Tabelle1!Q188),0,Tabelle1!Q188)</f>
        <v>0</v>
      </c>
      <c r="C13" s="1723"/>
      <c r="D13" s="1725"/>
      <c r="E13" s="1725">
        <v>0.19</v>
      </c>
      <c r="F13" s="1725"/>
      <c r="G13" s="1729">
        <f t="shared" si="3"/>
        <v>0</v>
      </c>
      <c r="H13" s="1729">
        <f t="shared" si="0"/>
        <v>0</v>
      </c>
      <c r="I13" s="1729">
        <f t="shared" si="1"/>
        <v>0</v>
      </c>
      <c r="J13" s="921">
        <v>1</v>
      </c>
      <c r="L13" s="931"/>
      <c r="M13" s="922">
        <f t="shared" si="2"/>
        <v>0</v>
      </c>
      <c r="N13" s="932" t="str">
        <f>IF(T$14=0,"",(E13*T$14)*1000)</f>
        <v/>
      </c>
      <c r="O13" s="933">
        <f t="shared" si="4"/>
        <v>0</v>
      </c>
      <c r="P13" s="936" t="str">
        <f>IF(ISBLANK(L13),"",IF(N13="","",IF(M13="",L13-N13,-(M13-O13))))</f>
        <v/>
      </c>
      <c r="Q13" s="935" t="s">
        <v>806</v>
      </c>
      <c r="S13" s="947" t="s">
        <v>815</v>
      </c>
      <c r="T13" s="948">
        <f>X4</f>
        <v>0</v>
      </c>
      <c r="U13" s="949" t="s">
        <v>816</v>
      </c>
      <c r="V13" s="3167" t="s">
        <v>817</v>
      </c>
      <c r="W13" s="3167"/>
    </row>
    <row r="14" spans="1:27" ht="15.75" customHeight="1">
      <c r="A14" s="1722" t="s">
        <v>818</v>
      </c>
      <c r="B14" s="1702">
        <f>IF(ISNA(Tabelle1!Q189),0,Tabelle1!Q189)</f>
        <v>0</v>
      </c>
      <c r="C14" s="1723"/>
      <c r="D14" s="1725"/>
      <c r="E14" s="1725">
        <v>0.45</v>
      </c>
      <c r="F14" s="1725"/>
      <c r="G14" s="1729">
        <f t="shared" si="3"/>
        <v>0</v>
      </c>
      <c r="H14" s="1729">
        <f t="shared" si="0"/>
        <v>0</v>
      </c>
      <c r="I14" s="1729">
        <f t="shared" si="1"/>
        <v>0</v>
      </c>
      <c r="J14" s="921">
        <v>1</v>
      </c>
      <c r="L14" s="931"/>
      <c r="M14" s="922">
        <f t="shared" si="2"/>
        <v>0</v>
      </c>
      <c r="N14" s="932" t="str">
        <f>IF(T$14=0,"",(E14*T$14)*1000)</f>
        <v/>
      </c>
      <c r="O14" s="933">
        <f t="shared" si="4"/>
        <v>0</v>
      </c>
      <c r="P14" s="936" t="str">
        <f>IF(ISBLANK(L14),"",IF(N14="","",IF(M14="",L14-N14,-(M14-O14))))</f>
        <v/>
      </c>
      <c r="Q14" s="935"/>
      <c r="S14" s="950" t="s">
        <v>33</v>
      </c>
      <c r="T14" s="951">
        <f>Y4</f>
        <v>0</v>
      </c>
      <c r="U14" s="952" t="s">
        <v>816</v>
      </c>
      <c r="V14" s="3167"/>
      <c r="W14" s="3167"/>
    </row>
    <row r="15" spans="1:27" ht="15.75" customHeight="1">
      <c r="A15" s="1730" t="s">
        <v>819</v>
      </c>
      <c r="B15" s="1703">
        <f>IF(ISNA(Tabelle1!Q190),0,Tabelle1!Q190)</f>
        <v>0</v>
      </c>
      <c r="C15" s="1731"/>
      <c r="D15" s="1733"/>
      <c r="E15" s="1733">
        <v>0.15</v>
      </c>
      <c r="F15" s="1733"/>
      <c r="G15" s="1737">
        <f t="shared" si="3"/>
        <v>0</v>
      </c>
      <c r="H15" s="1737">
        <f t="shared" si="0"/>
        <v>0</v>
      </c>
      <c r="I15" s="1737">
        <f t="shared" si="1"/>
        <v>0</v>
      </c>
      <c r="J15" s="937">
        <v>1</v>
      </c>
      <c r="L15" s="939"/>
      <c r="M15" s="938">
        <f t="shared" si="2"/>
        <v>0</v>
      </c>
      <c r="N15" s="940" t="str">
        <f>IF(T$14=0,"",(E15*T$14)*1000)</f>
        <v/>
      </c>
      <c r="O15" s="941">
        <f t="shared" si="4"/>
        <v>0</v>
      </c>
      <c r="P15" s="942" t="str">
        <f>IF(ISBLANK(L15),"",IF(N15="","",IF(M15="",L15-N15,-(M15-O15))))</f>
        <v/>
      </c>
      <c r="Q15" s="943"/>
      <c r="S15" s="950" t="s">
        <v>820</v>
      </c>
      <c r="T15" s="951" t="str">
        <f>Z4</f>
        <v/>
      </c>
      <c r="U15" s="952" t="s">
        <v>816</v>
      </c>
      <c r="V15" s="3167"/>
      <c r="W15" s="3167"/>
    </row>
    <row r="16" spans="1:27" ht="15.75" customHeight="1">
      <c r="A16" s="1722" t="s">
        <v>821</v>
      </c>
      <c r="B16" s="1702">
        <f>IF(ISNA(Tabelle1!Q191),0,Tabelle1!Q191)</f>
        <v>0</v>
      </c>
      <c r="C16" s="1723"/>
      <c r="D16" s="1724"/>
      <c r="E16" s="1725"/>
      <c r="F16" s="1724">
        <v>0.4</v>
      </c>
      <c r="G16" s="1729">
        <f t="shared" si="3"/>
        <v>0</v>
      </c>
      <c r="H16" s="1729">
        <f t="shared" si="0"/>
        <v>0</v>
      </c>
      <c r="I16" s="1727">
        <f t="shared" si="1"/>
        <v>0</v>
      </c>
      <c r="J16" s="953">
        <v>1</v>
      </c>
      <c r="L16" s="931"/>
      <c r="M16" s="922">
        <f t="shared" si="2"/>
        <v>0</v>
      </c>
      <c r="N16" s="932" t="str">
        <f>IF(Z$4="","",(F16*T$15)*1000)</f>
        <v/>
      </c>
      <c r="O16" s="933">
        <f t="shared" si="4"/>
        <v>0</v>
      </c>
      <c r="P16" s="936" t="str">
        <f>IF(ISBLANK(L16),"",IF(N16="","",IF(M16="",L16-N16,-(M16-O16))))</f>
        <v/>
      </c>
      <c r="Q16" s="935" t="s">
        <v>806</v>
      </c>
    </row>
    <row r="17" spans="1:23" ht="15.75" customHeight="1">
      <c r="A17" s="1722" t="s">
        <v>822</v>
      </c>
      <c r="B17" s="1702">
        <f>IF(ISNA(Tabelle1!Q192),0,Tabelle1!Q192)</f>
        <v>0</v>
      </c>
      <c r="C17" s="1723"/>
      <c r="D17" s="1724"/>
      <c r="E17" s="1725"/>
      <c r="F17" s="1724">
        <v>0.60000000000000009</v>
      </c>
      <c r="G17" s="1729">
        <f t="shared" si="3"/>
        <v>0</v>
      </c>
      <c r="H17" s="1729">
        <f t="shared" si="0"/>
        <v>0</v>
      </c>
      <c r="I17" s="1727">
        <f t="shared" si="1"/>
        <v>0</v>
      </c>
      <c r="J17" s="953">
        <v>1</v>
      </c>
      <c r="L17" s="919">
        <f>T9</f>
        <v>0</v>
      </c>
      <c r="M17" s="922">
        <f t="shared" si="2"/>
        <v>0</v>
      </c>
      <c r="N17" s="932" t="str">
        <f>IF(Z$4="","",(F17*T$15)*1000)</f>
        <v/>
      </c>
      <c r="O17" s="933">
        <f t="shared" si="4"/>
        <v>0</v>
      </c>
      <c r="P17" s="946" t="str">
        <f>IF(L17=0,"",IF(M17=0,L17-N17,M17-O17))</f>
        <v/>
      </c>
      <c r="Q17" s="935"/>
      <c r="S17" s="3168" t="s">
        <v>1726</v>
      </c>
      <c r="T17" s="3168"/>
      <c r="U17" s="3168"/>
      <c r="V17" s="3168"/>
      <c r="W17" s="3168"/>
    </row>
    <row r="18" spans="1:23" ht="15.75" customHeight="1">
      <c r="A18" s="1722" t="s">
        <v>823</v>
      </c>
      <c r="B18" s="1702">
        <f>IF(ISNA(Tabelle1!Q193),0,Tabelle1!Q193)</f>
        <v>0</v>
      </c>
      <c r="C18" s="1723"/>
      <c r="D18" s="1724"/>
      <c r="E18" s="1725"/>
      <c r="F18" s="1724">
        <v>0.30000000000000004</v>
      </c>
      <c r="G18" s="1729">
        <f t="shared" si="3"/>
        <v>0</v>
      </c>
      <c r="H18" s="1729">
        <f t="shared" si="0"/>
        <v>0</v>
      </c>
      <c r="I18" s="1727">
        <f t="shared" si="1"/>
        <v>0</v>
      </c>
      <c r="J18" s="953">
        <v>1</v>
      </c>
      <c r="L18" s="931"/>
      <c r="M18" s="922">
        <f t="shared" si="2"/>
        <v>0</v>
      </c>
      <c r="N18" s="932" t="str">
        <f>IF(Z$4="","",(F18*T$15)*1000)</f>
        <v/>
      </c>
      <c r="O18" s="933">
        <f t="shared" si="4"/>
        <v>0</v>
      </c>
      <c r="P18" s="936" t="str">
        <f>IF(ISBLANK(L18),"",IF(N18="","",IF(M18="",L18-N18,-(M18-O18))))</f>
        <v/>
      </c>
      <c r="Q18" s="935" t="s">
        <v>806</v>
      </c>
      <c r="S18" s="3168"/>
      <c r="T18" s="3168"/>
      <c r="U18" s="3168"/>
      <c r="V18" s="3168"/>
      <c r="W18" s="3168"/>
    </row>
    <row r="19" spans="1:23" ht="15.75" customHeight="1">
      <c r="A19" s="1722" t="s">
        <v>824</v>
      </c>
      <c r="B19" s="1702">
        <f>IF(ISNA(Tabelle1!Q194),0,Tabelle1!Q194)</f>
        <v>0</v>
      </c>
      <c r="C19" s="1723"/>
      <c r="D19" s="1724"/>
      <c r="E19" s="1725"/>
      <c r="F19" s="1724">
        <v>0.5</v>
      </c>
      <c r="G19" s="1729">
        <f t="shared" si="3"/>
        <v>0</v>
      </c>
      <c r="H19" s="1729">
        <f t="shared" si="0"/>
        <v>0</v>
      </c>
      <c r="I19" s="1727">
        <f t="shared" si="1"/>
        <v>0</v>
      </c>
      <c r="J19" s="953">
        <v>1</v>
      </c>
      <c r="L19" s="931"/>
      <c r="M19" s="922">
        <f t="shared" si="2"/>
        <v>0</v>
      </c>
      <c r="N19" s="932" t="str">
        <f>IF(Z$4="","",(F19*T$15)*1000)</f>
        <v/>
      </c>
      <c r="O19" s="933">
        <f t="shared" si="4"/>
        <v>0</v>
      </c>
      <c r="P19" s="936" t="str">
        <f>IF(ISBLANK(L19),"",IF(N19="","",IF(M19="",L19-N19,-(M19-O19))))</f>
        <v/>
      </c>
      <c r="Q19" s="935" t="s">
        <v>226</v>
      </c>
      <c r="S19" s="3168"/>
      <c r="T19" s="3168"/>
      <c r="U19" s="3168"/>
      <c r="V19" s="3168"/>
      <c r="W19" s="3168"/>
    </row>
    <row r="20" spans="1:23" ht="15.75" customHeight="1">
      <c r="A20" s="1730" t="s">
        <v>825</v>
      </c>
      <c r="B20" s="1703">
        <f>IF(ISNA(Tabelle1!Q195),0,Tabelle1!Q195)</f>
        <v>0</v>
      </c>
      <c r="C20" s="1731"/>
      <c r="D20" s="1732"/>
      <c r="E20" s="1733"/>
      <c r="F20" s="1732">
        <v>0.11</v>
      </c>
      <c r="G20" s="1737">
        <f t="shared" si="3"/>
        <v>0</v>
      </c>
      <c r="H20" s="1737">
        <f t="shared" si="0"/>
        <v>0</v>
      </c>
      <c r="I20" s="1735">
        <f t="shared" si="1"/>
        <v>0</v>
      </c>
      <c r="J20" s="954">
        <v>1</v>
      </c>
      <c r="L20" s="939"/>
      <c r="M20" s="938">
        <f t="shared" si="2"/>
        <v>0</v>
      </c>
      <c r="N20" s="940" t="str">
        <f>IF(Z$4="","",(F20*T$15)*1000)</f>
        <v/>
      </c>
      <c r="O20" s="941">
        <f t="shared" si="4"/>
        <v>0</v>
      </c>
      <c r="P20" s="942" t="str">
        <f>IF(ISBLANK(L20),"",IF(N20="","",IF(M20="",L20-N20,-(M20-O20))))</f>
        <v/>
      </c>
      <c r="Q20" s="943" t="s">
        <v>806</v>
      </c>
      <c r="S20" s="3168"/>
      <c r="T20" s="3168"/>
      <c r="U20" s="3168"/>
      <c r="V20" s="3168"/>
      <c r="W20" s="3168"/>
    </row>
    <row r="21" spans="1:23" ht="15.75" customHeight="1">
      <c r="A21" s="1722" t="s">
        <v>826</v>
      </c>
      <c r="B21" s="1702">
        <f>IF(ISNA(Tabelle1!Q196),0,Tabelle1!Q196)</f>
        <v>0</v>
      </c>
      <c r="C21" s="1723"/>
      <c r="D21" s="1724">
        <v>0.18</v>
      </c>
      <c r="E21" s="1725">
        <v>0.46</v>
      </c>
      <c r="F21" s="1716"/>
      <c r="G21" s="1729">
        <f t="shared" si="3"/>
        <v>0</v>
      </c>
      <c r="H21" s="1729">
        <f t="shared" si="0"/>
        <v>0</v>
      </c>
      <c r="I21" s="1727">
        <f t="shared" si="1"/>
        <v>0</v>
      </c>
      <c r="J21" s="953">
        <v>1</v>
      </c>
      <c r="L21" s="919">
        <f>T7</f>
        <v>0</v>
      </c>
      <c r="M21" s="922">
        <f t="shared" si="2"/>
        <v>0</v>
      </c>
      <c r="N21" s="932" t="str">
        <f>IF(T$14=0,"",(D21*T$13+E21*T$14)*1000)</f>
        <v/>
      </c>
      <c r="O21" s="933">
        <f t="shared" si="4"/>
        <v>0</v>
      </c>
      <c r="P21" s="946" t="str">
        <f>IF(L21=0,"",IF(M21=0,L21-N21,M21-O21))</f>
        <v/>
      </c>
      <c r="Q21" s="935" t="s">
        <v>226</v>
      </c>
      <c r="S21" s="3168"/>
      <c r="T21" s="3168"/>
      <c r="U21" s="3168"/>
      <c r="V21" s="3168"/>
      <c r="W21" s="3168"/>
    </row>
    <row r="22" spans="1:23" ht="15.75" customHeight="1">
      <c r="A22" s="1722" t="s">
        <v>827</v>
      </c>
      <c r="B22" s="1702">
        <f>IF(ISNA(Tabelle1!Q197),0,Tabelle1!Q197)</f>
        <v>0</v>
      </c>
      <c r="C22" s="1723"/>
      <c r="D22" s="1724">
        <v>0.2</v>
      </c>
      <c r="E22" s="1725">
        <v>0.2</v>
      </c>
      <c r="F22" s="1724"/>
      <c r="G22" s="1729">
        <f t="shared" si="3"/>
        <v>0</v>
      </c>
      <c r="H22" s="1729">
        <f t="shared" si="0"/>
        <v>0</v>
      </c>
      <c r="I22" s="1727">
        <f t="shared" si="1"/>
        <v>0</v>
      </c>
      <c r="J22" s="953">
        <v>1</v>
      </c>
      <c r="L22" s="931"/>
      <c r="M22" s="922">
        <f t="shared" si="2"/>
        <v>0</v>
      </c>
      <c r="N22" s="932" t="str">
        <f>IF(T$14=0,"",(D22*T$13+E22*T$14)*1000)</f>
        <v/>
      </c>
      <c r="O22" s="933">
        <f t="shared" si="4"/>
        <v>0</v>
      </c>
      <c r="P22" s="936" t="str">
        <f t="shared" ref="P22:P49" si="5">IF(ISBLANK(L22),"",IF(N22="","",IF(M22="",L22-N22,-(M22-O22))))</f>
        <v/>
      </c>
      <c r="Q22" s="955" t="s">
        <v>828</v>
      </c>
      <c r="S22" s="3168"/>
      <c r="T22" s="3168"/>
      <c r="U22" s="3168"/>
      <c r="V22" s="3168"/>
      <c r="W22" s="3168"/>
    </row>
    <row r="23" spans="1:23" ht="15.75" customHeight="1">
      <c r="A23" s="1730" t="s">
        <v>829</v>
      </c>
      <c r="B23" s="1703">
        <f>IF(ISNA(Tabelle1!Q198),0,Tabelle1!Q198)</f>
        <v>0</v>
      </c>
      <c r="C23" s="1731"/>
      <c r="D23" s="1732">
        <v>0.26</v>
      </c>
      <c r="E23" s="1733">
        <v>0.1</v>
      </c>
      <c r="F23" s="1724"/>
      <c r="G23" s="1737">
        <f t="shared" si="3"/>
        <v>0</v>
      </c>
      <c r="H23" s="1737">
        <f t="shared" si="0"/>
        <v>0</v>
      </c>
      <c r="I23" s="1735">
        <f t="shared" si="1"/>
        <v>0</v>
      </c>
      <c r="J23" s="954">
        <v>1</v>
      </c>
      <c r="L23" s="939"/>
      <c r="M23" s="938">
        <f t="shared" si="2"/>
        <v>0</v>
      </c>
      <c r="N23" s="940" t="str">
        <f>IF(T$14=0,"",(D23*T$13+E23*T$14)*1000)</f>
        <v/>
      </c>
      <c r="O23" s="941">
        <f t="shared" si="4"/>
        <v>0</v>
      </c>
      <c r="P23" s="942" t="str">
        <f t="shared" si="5"/>
        <v/>
      </c>
      <c r="Q23" s="956" t="s">
        <v>830</v>
      </c>
      <c r="S23" s="3168"/>
      <c r="T23" s="3168"/>
      <c r="U23" s="3168"/>
      <c r="V23" s="3168"/>
      <c r="W23" s="3168"/>
    </row>
    <row r="24" spans="1:23" ht="15.75" customHeight="1">
      <c r="A24" s="1714" t="s">
        <v>831</v>
      </c>
      <c r="B24" s="1702">
        <f>IF(ISNA(Tabelle1!Q199),0,Tabelle1!Q199)</f>
        <v>0</v>
      </c>
      <c r="C24" s="1715"/>
      <c r="D24" s="1716"/>
      <c r="E24" s="1717">
        <v>0.12</v>
      </c>
      <c r="F24" s="1716">
        <v>0.2</v>
      </c>
      <c r="G24" s="1729">
        <f t="shared" si="3"/>
        <v>0</v>
      </c>
      <c r="H24" s="1729">
        <f t="shared" si="0"/>
        <v>0</v>
      </c>
      <c r="I24" s="1727">
        <f t="shared" si="1"/>
        <v>0</v>
      </c>
      <c r="J24" s="953">
        <v>1</v>
      </c>
      <c r="L24" s="930"/>
      <c r="M24" s="922">
        <f t="shared" si="2"/>
        <v>0</v>
      </c>
      <c r="N24" s="932" t="str">
        <f>IF(OR(T$14=0,Z$4=0),"",(E24*T$14+F24*T$15)*1000)</f>
        <v/>
      </c>
      <c r="O24" s="933">
        <f t="shared" si="4"/>
        <v>0</v>
      </c>
      <c r="P24" s="936" t="str">
        <f t="shared" si="5"/>
        <v/>
      </c>
      <c r="Q24" s="955" t="s">
        <v>830</v>
      </c>
      <c r="S24" s="3168"/>
      <c r="T24" s="3168"/>
      <c r="U24" s="3168"/>
      <c r="V24" s="3168"/>
      <c r="W24" s="3168"/>
    </row>
    <row r="25" spans="1:23" ht="15.75" customHeight="1">
      <c r="A25" s="1722" t="s">
        <v>832</v>
      </c>
      <c r="B25" s="1702">
        <f>IF(ISNA(Tabelle1!Q200),0,Tabelle1!Q200)</f>
        <v>0</v>
      </c>
      <c r="C25" s="1723"/>
      <c r="D25" s="1724"/>
      <c r="E25" s="1725">
        <v>0.1</v>
      </c>
      <c r="F25" s="1724">
        <v>0.30000000000000004</v>
      </c>
      <c r="G25" s="1729">
        <f t="shared" si="3"/>
        <v>0</v>
      </c>
      <c r="H25" s="1729">
        <f t="shared" si="0"/>
        <v>0</v>
      </c>
      <c r="I25" s="1727">
        <f t="shared" si="1"/>
        <v>0</v>
      </c>
      <c r="J25" s="953">
        <v>1</v>
      </c>
      <c r="L25" s="931"/>
      <c r="M25" s="922">
        <f t="shared" si="2"/>
        <v>0</v>
      </c>
      <c r="N25" s="932" t="str">
        <f>IF(OR(T$14=0,Z$4=0),"",(E25*T$14+F25*T$15)*1000)</f>
        <v/>
      </c>
      <c r="O25" s="933">
        <f t="shared" si="4"/>
        <v>0</v>
      </c>
      <c r="P25" s="936" t="str">
        <f t="shared" si="5"/>
        <v/>
      </c>
      <c r="Q25" s="957" t="s">
        <v>833</v>
      </c>
      <c r="S25" s="3168"/>
      <c r="T25" s="3168"/>
      <c r="U25" s="3168"/>
      <c r="V25" s="3168"/>
      <c r="W25" s="3168"/>
    </row>
    <row r="26" spans="1:23" ht="15.75" customHeight="1">
      <c r="A26" s="1722" t="s">
        <v>834</v>
      </c>
      <c r="B26" s="1702">
        <f>IF(ISNA(Tabelle1!Q201),0,Tabelle1!Q201)</f>
        <v>0</v>
      </c>
      <c r="C26" s="1723"/>
      <c r="D26" s="1724"/>
      <c r="E26" s="1725">
        <v>0.22</v>
      </c>
      <c r="F26" s="1724">
        <v>0.1</v>
      </c>
      <c r="G26" s="1729">
        <f t="shared" si="3"/>
        <v>0</v>
      </c>
      <c r="H26" s="1729">
        <f t="shared" si="0"/>
        <v>0</v>
      </c>
      <c r="I26" s="1727">
        <f t="shared" si="1"/>
        <v>0</v>
      </c>
      <c r="J26" s="953">
        <v>1</v>
      </c>
      <c r="L26" s="931"/>
      <c r="M26" s="922">
        <f t="shared" si="2"/>
        <v>0</v>
      </c>
      <c r="N26" s="932" t="str">
        <f>IF(OR(T$14=0,Z$4=0),"",(E26*T$14+F26*T$15)*1000)</f>
        <v/>
      </c>
      <c r="O26" s="933">
        <f t="shared" si="4"/>
        <v>0</v>
      </c>
      <c r="P26" s="936" t="str">
        <f t="shared" si="5"/>
        <v/>
      </c>
      <c r="Q26" s="955"/>
      <c r="S26" s="3168"/>
      <c r="T26" s="3168"/>
      <c r="U26" s="3168"/>
      <c r="V26" s="3168"/>
      <c r="W26" s="3168"/>
    </row>
    <row r="27" spans="1:23" ht="15.75" customHeight="1">
      <c r="A27" s="1730" t="s">
        <v>834</v>
      </c>
      <c r="B27" s="1703">
        <f>IF(ISNA(Tabelle1!Q202),0,Tabelle1!Q202)</f>
        <v>0</v>
      </c>
      <c r="C27" s="1731"/>
      <c r="D27" s="1732"/>
      <c r="E27" s="1733">
        <v>0.18</v>
      </c>
      <c r="F27" s="1732">
        <v>0.18</v>
      </c>
      <c r="G27" s="1737">
        <f t="shared" si="3"/>
        <v>0</v>
      </c>
      <c r="H27" s="1737">
        <f t="shared" si="0"/>
        <v>0</v>
      </c>
      <c r="I27" s="1735">
        <f t="shared" si="1"/>
        <v>0</v>
      </c>
      <c r="J27" s="954">
        <v>1</v>
      </c>
      <c r="L27" s="939"/>
      <c r="M27" s="938">
        <f t="shared" si="2"/>
        <v>0</v>
      </c>
      <c r="N27" s="958" t="str">
        <f>IF(OR(T$14=0,Z$4=0),"",(E27*T$14+F27*T$15)*1000)</f>
        <v/>
      </c>
      <c r="O27" s="941">
        <f t="shared" si="4"/>
        <v>0</v>
      </c>
      <c r="P27" s="942" t="str">
        <f t="shared" si="5"/>
        <v/>
      </c>
      <c r="Q27" s="956"/>
      <c r="S27" s="3168"/>
      <c r="T27" s="3168"/>
      <c r="U27" s="3168"/>
      <c r="V27" s="3168"/>
      <c r="W27" s="3168"/>
    </row>
    <row r="28" spans="1:23" ht="15.75" customHeight="1">
      <c r="A28" s="1714" t="s">
        <v>835</v>
      </c>
      <c r="B28" s="1702">
        <f>IF(ISNA(Tabelle1!Q203),0,Tabelle1!Q203)</f>
        <v>0</v>
      </c>
      <c r="C28" s="1715"/>
      <c r="D28" s="1716">
        <v>0.06</v>
      </c>
      <c r="E28" s="1717">
        <v>0.1</v>
      </c>
      <c r="F28" s="1716">
        <v>0.16</v>
      </c>
      <c r="G28" s="1729">
        <f t="shared" si="3"/>
        <v>0</v>
      </c>
      <c r="H28" s="1729">
        <f t="shared" si="0"/>
        <v>0</v>
      </c>
      <c r="I28" s="1727">
        <f t="shared" si="1"/>
        <v>0</v>
      </c>
      <c r="J28" s="953">
        <v>1</v>
      </c>
      <c r="L28" s="930"/>
      <c r="M28" s="922">
        <f t="shared" si="2"/>
        <v>0</v>
      </c>
      <c r="N28" s="932" t="str">
        <f t="shared" ref="N28:N49" si="6">IF(OR(X$4=0,Y$4=0,Z$4=0),"",(D28*T$13+E28*T$14+F28*T$15)*1000)</f>
        <v/>
      </c>
      <c r="O28" s="933">
        <f t="shared" si="4"/>
        <v>0</v>
      </c>
      <c r="P28" s="936" t="str">
        <f t="shared" si="5"/>
        <v/>
      </c>
      <c r="Q28" s="955" t="s">
        <v>830</v>
      </c>
      <c r="S28" s="3168"/>
      <c r="T28" s="3168"/>
      <c r="U28" s="3168"/>
      <c r="V28" s="3168"/>
      <c r="W28" s="3168"/>
    </row>
    <row r="29" spans="1:23" ht="15.75" customHeight="1">
      <c r="A29" s="1722" t="s">
        <v>836</v>
      </c>
      <c r="B29" s="1702">
        <f>IF(ISNA(Tabelle1!Q204),0,Tabelle1!Q204)</f>
        <v>0</v>
      </c>
      <c r="C29" s="1723"/>
      <c r="D29" s="1724">
        <v>0.12</v>
      </c>
      <c r="E29" s="1725">
        <v>0.1</v>
      </c>
      <c r="F29" s="1724">
        <v>0.15</v>
      </c>
      <c r="G29" s="1729">
        <f t="shared" si="3"/>
        <v>0</v>
      </c>
      <c r="H29" s="1729">
        <f t="shared" si="0"/>
        <v>0</v>
      </c>
      <c r="I29" s="1727">
        <f t="shared" si="1"/>
        <v>0</v>
      </c>
      <c r="J29" s="953">
        <v>1</v>
      </c>
      <c r="L29" s="931"/>
      <c r="M29" s="922">
        <f t="shared" si="2"/>
        <v>0</v>
      </c>
      <c r="N29" s="932" t="str">
        <f t="shared" si="6"/>
        <v/>
      </c>
      <c r="O29" s="933">
        <f t="shared" si="4"/>
        <v>0</v>
      </c>
      <c r="P29" s="936" t="str">
        <f t="shared" si="5"/>
        <v/>
      </c>
      <c r="Q29" s="955" t="s">
        <v>830</v>
      </c>
      <c r="S29" s="1515"/>
      <c r="T29" s="1515"/>
      <c r="U29" s="1515"/>
      <c r="V29" s="1515"/>
      <c r="W29" s="1515"/>
    </row>
    <row r="30" spans="1:23" ht="15.75" customHeight="1">
      <c r="A30" s="1722" t="s">
        <v>837</v>
      </c>
      <c r="B30" s="1702">
        <f>IF(ISNA(Tabelle1!Q205),0,Tabelle1!Q205)</f>
        <v>0</v>
      </c>
      <c r="C30" s="1723"/>
      <c r="D30" s="1724">
        <v>0.13</v>
      </c>
      <c r="E30" s="1725">
        <v>0.05</v>
      </c>
      <c r="F30" s="1724">
        <v>0.15</v>
      </c>
      <c r="G30" s="1729">
        <f t="shared" si="3"/>
        <v>0</v>
      </c>
      <c r="H30" s="1729">
        <f t="shared" si="0"/>
        <v>0</v>
      </c>
      <c r="I30" s="1727">
        <f t="shared" si="1"/>
        <v>0</v>
      </c>
      <c r="J30" s="953">
        <v>1</v>
      </c>
      <c r="L30" s="931"/>
      <c r="M30" s="922">
        <f t="shared" si="2"/>
        <v>0</v>
      </c>
      <c r="N30" s="932" t="str">
        <f t="shared" si="6"/>
        <v/>
      </c>
      <c r="O30" s="933">
        <f t="shared" si="4"/>
        <v>0</v>
      </c>
      <c r="P30" s="936" t="str">
        <f t="shared" si="5"/>
        <v/>
      </c>
      <c r="Q30" s="955" t="s">
        <v>830</v>
      </c>
      <c r="S30" s="3169" t="s">
        <v>838</v>
      </c>
      <c r="T30" s="3169"/>
      <c r="U30" s="3169"/>
      <c r="V30" s="3169"/>
      <c r="W30" s="3169"/>
    </row>
    <row r="31" spans="1:23" ht="15.75" customHeight="1">
      <c r="A31" s="1722" t="s">
        <v>839</v>
      </c>
      <c r="B31" s="1703">
        <f>IF(ISNA(Tabelle1!Q206),0,Tabelle1!Q206)</f>
        <v>0</v>
      </c>
      <c r="C31" s="1731"/>
      <c r="D31" s="1732">
        <v>0.15</v>
      </c>
      <c r="E31" s="1733">
        <v>0.05</v>
      </c>
      <c r="F31" s="1732">
        <v>0.05</v>
      </c>
      <c r="G31" s="1737">
        <f t="shared" si="3"/>
        <v>0</v>
      </c>
      <c r="H31" s="1737">
        <f t="shared" si="0"/>
        <v>0</v>
      </c>
      <c r="I31" s="1735">
        <f t="shared" si="1"/>
        <v>0</v>
      </c>
      <c r="J31" s="954">
        <v>1</v>
      </c>
      <c r="L31" s="939"/>
      <c r="M31" s="938">
        <f t="shared" si="2"/>
        <v>0</v>
      </c>
      <c r="N31" s="958" t="str">
        <f t="shared" si="6"/>
        <v/>
      </c>
      <c r="O31" s="941">
        <f t="shared" si="4"/>
        <v>0</v>
      </c>
      <c r="P31" s="942" t="str">
        <f t="shared" si="5"/>
        <v/>
      </c>
      <c r="Q31" s="956" t="s">
        <v>830</v>
      </c>
      <c r="S31" s="3169"/>
      <c r="T31" s="3169"/>
      <c r="U31" s="3169"/>
      <c r="V31" s="3169"/>
      <c r="W31" s="3169"/>
    </row>
    <row r="32" spans="1:23" ht="15.75" customHeight="1">
      <c r="A32" s="1714" t="s">
        <v>840</v>
      </c>
      <c r="B32" s="1702">
        <f>IF(ISNA(Tabelle1!Q207),0,Tabelle1!Q207)</f>
        <v>0</v>
      </c>
      <c r="C32" s="1715"/>
      <c r="D32" s="1716">
        <v>0.14000000000000001</v>
      </c>
      <c r="E32" s="1717">
        <v>0.1</v>
      </c>
      <c r="F32" s="1716">
        <v>0.2</v>
      </c>
      <c r="G32" s="1719">
        <f t="shared" si="3"/>
        <v>0</v>
      </c>
      <c r="H32" s="1720">
        <f t="shared" si="0"/>
        <v>0</v>
      </c>
      <c r="I32" s="1721">
        <f t="shared" si="1"/>
        <v>0</v>
      </c>
      <c r="J32" s="959">
        <v>1</v>
      </c>
      <c r="L32" s="930"/>
      <c r="M32" s="918">
        <f t="shared" si="2"/>
        <v>0</v>
      </c>
      <c r="N32" s="932" t="str">
        <f t="shared" si="6"/>
        <v/>
      </c>
      <c r="O32" s="945">
        <f t="shared" si="4"/>
        <v>0</v>
      </c>
      <c r="P32" s="936" t="str">
        <f t="shared" si="5"/>
        <v/>
      </c>
      <c r="Q32" s="955" t="s">
        <v>830</v>
      </c>
      <c r="S32" s="3169"/>
      <c r="T32" s="3169"/>
      <c r="U32" s="3169"/>
      <c r="V32" s="3169"/>
      <c r="W32" s="3169"/>
    </row>
    <row r="33" spans="1:23" ht="15.75" customHeight="1">
      <c r="A33" s="1722" t="s">
        <v>841</v>
      </c>
      <c r="B33" s="1702">
        <f>IF(ISNA(Tabelle1!Q208),0,Tabelle1!Q208)</f>
        <v>0</v>
      </c>
      <c r="C33" s="1723"/>
      <c r="D33" s="1724">
        <v>0.15</v>
      </c>
      <c r="E33" s="1725">
        <v>0.15</v>
      </c>
      <c r="F33" s="1724">
        <v>0.15</v>
      </c>
      <c r="G33" s="1729">
        <f t="shared" si="3"/>
        <v>0</v>
      </c>
      <c r="H33" s="1729">
        <f t="shared" si="0"/>
        <v>0</v>
      </c>
      <c r="I33" s="1727">
        <f t="shared" si="1"/>
        <v>0</v>
      </c>
      <c r="J33" s="953">
        <v>1</v>
      </c>
      <c r="L33" s="931"/>
      <c r="M33" s="922">
        <f t="shared" si="2"/>
        <v>0</v>
      </c>
      <c r="N33" s="932" t="str">
        <f t="shared" si="6"/>
        <v/>
      </c>
      <c r="O33" s="933">
        <f t="shared" si="4"/>
        <v>0</v>
      </c>
      <c r="P33" s="936" t="str">
        <f t="shared" si="5"/>
        <v/>
      </c>
      <c r="Q33" s="955" t="s">
        <v>828</v>
      </c>
      <c r="S33" s="3169"/>
      <c r="T33" s="3169"/>
      <c r="U33" s="3169"/>
      <c r="V33" s="3169"/>
      <c r="W33" s="3169"/>
    </row>
    <row r="34" spans="1:23" ht="15.75" customHeight="1">
      <c r="A34" s="1748" t="s">
        <v>842</v>
      </c>
      <c r="B34" s="1703">
        <f>IF(ISNA(Tabelle1!Q209),0,Tabelle1!Q209)</f>
        <v>0</v>
      </c>
      <c r="C34" s="1731"/>
      <c r="D34" s="1732">
        <v>0.2</v>
      </c>
      <c r="E34" s="1733">
        <v>0.08</v>
      </c>
      <c r="F34" s="1732">
        <v>0.08</v>
      </c>
      <c r="G34" s="1737">
        <f t="shared" si="3"/>
        <v>0</v>
      </c>
      <c r="H34" s="1737">
        <f t="shared" si="0"/>
        <v>0</v>
      </c>
      <c r="I34" s="1735">
        <f t="shared" si="1"/>
        <v>0</v>
      </c>
      <c r="J34" s="954">
        <v>1</v>
      </c>
      <c r="L34" s="939"/>
      <c r="M34" s="938">
        <f t="shared" si="2"/>
        <v>0</v>
      </c>
      <c r="N34" s="958" t="str">
        <f t="shared" si="6"/>
        <v/>
      </c>
      <c r="O34" s="941">
        <f t="shared" si="4"/>
        <v>0</v>
      </c>
      <c r="P34" s="942" t="str">
        <f t="shared" si="5"/>
        <v/>
      </c>
      <c r="Q34" s="960" t="s">
        <v>843</v>
      </c>
      <c r="S34" s="3169"/>
      <c r="T34" s="3169"/>
      <c r="U34" s="3169"/>
      <c r="V34" s="3169"/>
      <c r="W34" s="3169"/>
    </row>
    <row r="35" spans="1:23" ht="15.75" customHeight="1">
      <c r="A35" s="1722" t="s">
        <v>844</v>
      </c>
      <c r="B35" s="1702">
        <f>IF(ISNA(Tabelle1!Q210),0,Tabelle1!Q210)</f>
        <v>0</v>
      </c>
      <c r="C35" s="1723"/>
      <c r="D35" s="1724">
        <v>0.15</v>
      </c>
      <c r="E35" s="1725">
        <v>0.05</v>
      </c>
      <c r="F35" s="1724">
        <v>0.18</v>
      </c>
      <c r="G35" s="1729">
        <f t="shared" si="3"/>
        <v>0</v>
      </c>
      <c r="H35" s="1729">
        <f t="shared" si="0"/>
        <v>0</v>
      </c>
      <c r="I35" s="1727">
        <f t="shared" si="1"/>
        <v>0</v>
      </c>
      <c r="J35" s="953">
        <v>1</v>
      </c>
      <c r="L35" s="931"/>
      <c r="M35" s="922">
        <f t="shared" si="2"/>
        <v>0</v>
      </c>
      <c r="N35" s="932" t="str">
        <f t="shared" si="6"/>
        <v/>
      </c>
      <c r="O35" s="933">
        <f t="shared" si="4"/>
        <v>0</v>
      </c>
      <c r="P35" s="936" t="str">
        <f t="shared" si="5"/>
        <v/>
      </c>
      <c r="Q35" s="957" t="s">
        <v>843</v>
      </c>
      <c r="S35" s="3169"/>
      <c r="T35" s="3169"/>
      <c r="U35" s="3169"/>
      <c r="V35" s="3169"/>
      <c r="W35" s="3169"/>
    </row>
    <row r="36" spans="1:23" ht="15.75" customHeight="1">
      <c r="A36" s="1722" t="s">
        <v>845</v>
      </c>
      <c r="B36" s="1703">
        <f>IF(ISNA(Tabelle1!Q211),0,Tabelle1!Q211)</f>
        <v>0</v>
      </c>
      <c r="C36" s="1723"/>
      <c r="D36" s="1724">
        <v>0.12</v>
      </c>
      <c r="E36" s="1725">
        <v>0.12</v>
      </c>
      <c r="F36" s="1724">
        <v>0.17</v>
      </c>
      <c r="G36" s="1729">
        <f t="shared" si="3"/>
        <v>0</v>
      </c>
      <c r="H36" s="1729">
        <f t="shared" si="0"/>
        <v>0</v>
      </c>
      <c r="I36" s="1727">
        <f t="shared" si="1"/>
        <v>0</v>
      </c>
      <c r="J36" s="953">
        <v>1</v>
      </c>
      <c r="L36" s="931"/>
      <c r="M36" s="922">
        <f t="shared" si="2"/>
        <v>0</v>
      </c>
      <c r="N36" s="958" t="str">
        <f t="shared" si="6"/>
        <v/>
      </c>
      <c r="O36" s="933">
        <f t="shared" si="4"/>
        <v>0</v>
      </c>
      <c r="P36" s="942" t="str">
        <f t="shared" si="5"/>
        <v/>
      </c>
      <c r="Q36" s="960" t="s">
        <v>846</v>
      </c>
      <c r="S36" s="3169"/>
      <c r="T36" s="3169"/>
      <c r="U36" s="3169"/>
      <c r="V36" s="3169"/>
      <c r="W36" s="3169"/>
    </row>
    <row r="37" spans="1:23" ht="15.75" customHeight="1">
      <c r="A37" s="1714" t="s">
        <v>847</v>
      </c>
      <c r="B37" s="1702">
        <f>IF(ISNA(Tabelle1!Q212),0,Tabelle1!Q212)</f>
        <v>0</v>
      </c>
      <c r="C37" s="1715"/>
      <c r="D37" s="1716">
        <v>0.18</v>
      </c>
      <c r="E37" s="1717">
        <v>0.11</v>
      </c>
      <c r="F37" s="1718">
        <v>0.11</v>
      </c>
      <c r="G37" s="1719">
        <f t="shared" si="3"/>
        <v>0</v>
      </c>
      <c r="H37" s="1720">
        <f t="shared" si="0"/>
        <v>0</v>
      </c>
      <c r="I37" s="1721">
        <f t="shared" si="1"/>
        <v>0</v>
      </c>
      <c r="J37" s="959">
        <v>1</v>
      </c>
      <c r="L37" s="930"/>
      <c r="M37" s="918">
        <f t="shared" si="2"/>
        <v>0</v>
      </c>
      <c r="N37" s="932" t="str">
        <f t="shared" si="6"/>
        <v/>
      </c>
      <c r="O37" s="945">
        <f t="shared" si="4"/>
        <v>0</v>
      </c>
      <c r="P37" s="936" t="str">
        <f t="shared" si="5"/>
        <v/>
      </c>
      <c r="Q37" s="955" t="s">
        <v>830</v>
      </c>
      <c r="S37" s="3169"/>
      <c r="T37" s="3169"/>
      <c r="U37" s="3169"/>
      <c r="V37" s="3169"/>
      <c r="W37" s="3169"/>
    </row>
    <row r="38" spans="1:23" ht="15.75" customHeight="1">
      <c r="A38" s="1722" t="s">
        <v>848</v>
      </c>
      <c r="B38" s="1702">
        <f>IF(ISNA(Tabelle1!Q213),0,Tabelle1!Q213)</f>
        <v>0</v>
      </c>
      <c r="C38" s="1723"/>
      <c r="D38" s="1724">
        <v>0.2</v>
      </c>
      <c r="E38" s="1725">
        <v>7.0000000000000007E-2</v>
      </c>
      <c r="F38" s="1726">
        <v>7.0000000000000007E-2</v>
      </c>
      <c r="G38" s="1727">
        <f t="shared" si="3"/>
        <v>0</v>
      </c>
      <c r="H38" s="1728">
        <f t="shared" si="0"/>
        <v>0</v>
      </c>
      <c r="I38" s="1729">
        <f t="shared" si="1"/>
        <v>0</v>
      </c>
      <c r="J38" s="961">
        <v>1</v>
      </c>
      <c r="L38" s="931"/>
      <c r="M38" s="922">
        <f t="shared" si="2"/>
        <v>0</v>
      </c>
      <c r="N38" s="932" t="str">
        <f t="shared" si="6"/>
        <v/>
      </c>
      <c r="O38" s="933">
        <f t="shared" si="4"/>
        <v>0</v>
      </c>
      <c r="P38" s="936" t="str">
        <f t="shared" si="5"/>
        <v/>
      </c>
      <c r="Q38" s="955" t="s">
        <v>830</v>
      </c>
      <c r="S38" s="3169"/>
      <c r="T38" s="3169"/>
      <c r="U38" s="3169"/>
      <c r="V38" s="3169"/>
      <c r="W38" s="3169"/>
    </row>
    <row r="39" spans="1:23" ht="15.75" customHeight="1">
      <c r="A39" s="1730" t="s">
        <v>849</v>
      </c>
      <c r="B39" s="1703">
        <f>IF(ISNA(Tabelle1!Q214),0,Tabelle1!Q214)</f>
        <v>0</v>
      </c>
      <c r="C39" s="1731"/>
      <c r="D39" s="1732">
        <v>0.21</v>
      </c>
      <c r="E39" s="1733">
        <v>7.0000000000000007E-2</v>
      </c>
      <c r="F39" s="1734">
        <v>7.0000000000000007E-2</v>
      </c>
      <c r="G39" s="1735">
        <f t="shared" si="3"/>
        <v>0</v>
      </c>
      <c r="H39" s="1736">
        <f t="shared" si="0"/>
        <v>0</v>
      </c>
      <c r="I39" s="1737">
        <f t="shared" si="1"/>
        <v>0</v>
      </c>
      <c r="J39" s="962">
        <v>1</v>
      </c>
      <c r="L39" s="939"/>
      <c r="M39" s="938">
        <f t="shared" si="2"/>
        <v>0</v>
      </c>
      <c r="N39" s="958" t="str">
        <f t="shared" si="6"/>
        <v/>
      </c>
      <c r="O39" s="941">
        <f t="shared" si="4"/>
        <v>0</v>
      </c>
      <c r="P39" s="942" t="str">
        <f t="shared" si="5"/>
        <v/>
      </c>
      <c r="Q39" s="956" t="s">
        <v>226</v>
      </c>
      <c r="S39" s="3169"/>
      <c r="T39" s="3169"/>
      <c r="U39" s="3169"/>
      <c r="V39" s="3169"/>
      <c r="W39" s="3169"/>
    </row>
    <row r="40" spans="1:23" ht="15.75" customHeight="1">
      <c r="A40" s="1738" t="s">
        <v>1762</v>
      </c>
      <c r="B40" s="1702">
        <f>IF(ISNA(Tabelle1!Q215),0,Tabelle1!Q215)</f>
        <v>0</v>
      </c>
      <c r="C40" s="1715"/>
      <c r="D40" s="1739"/>
      <c r="E40" s="1740"/>
      <c r="F40" s="1739"/>
      <c r="G40" s="1721">
        <f t="shared" si="3"/>
        <v>0</v>
      </c>
      <c r="H40" s="1720">
        <f t="shared" si="0"/>
        <v>0</v>
      </c>
      <c r="I40" s="1721">
        <f t="shared" si="1"/>
        <v>0</v>
      </c>
      <c r="J40" s="959">
        <v>1</v>
      </c>
      <c r="L40" s="930"/>
      <c r="M40" s="918">
        <f t="shared" si="2"/>
        <v>0</v>
      </c>
      <c r="N40" s="932" t="str">
        <f t="shared" si="6"/>
        <v/>
      </c>
      <c r="O40" s="945">
        <f t="shared" si="4"/>
        <v>0</v>
      </c>
      <c r="P40" s="936" t="str">
        <f t="shared" si="5"/>
        <v/>
      </c>
      <c r="Q40" s="3170" t="s">
        <v>851</v>
      </c>
    </row>
    <row r="41" spans="1:23" ht="15.75" customHeight="1">
      <c r="A41" s="1741" t="s">
        <v>1763</v>
      </c>
      <c r="B41" s="1702">
        <f>IF(ISNA(Tabelle1!Q216),0,Tabelle1!Q216)</f>
        <v>0</v>
      </c>
      <c r="C41" s="1723"/>
      <c r="D41" s="1742"/>
      <c r="E41" s="1743"/>
      <c r="F41" s="1742"/>
      <c r="G41" s="1729">
        <f t="shared" si="3"/>
        <v>0</v>
      </c>
      <c r="H41" s="1728">
        <f t="shared" si="0"/>
        <v>0</v>
      </c>
      <c r="I41" s="1729">
        <f t="shared" si="1"/>
        <v>0</v>
      </c>
      <c r="J41" s="961">
        <v>1</v>
      </c>
      <c r="L41" s="931"/>
      <c r="M41" s="922">
        <f t="shared" si="2"/>
        <v>0</v>
      </c>
      <c r="N41" s="932" t="str">
        <f t="shared" si="6"/>
        <v/>
      </c>
      <c r="O41" s="933">
        <f t="shared" si="4"/>
        <v>0</v>
      </c>
      <c r="P41" s="936" t="str">
        <f t="shared" si="5"/>
        <v/>
      </c>
      <c r="Q41" s="3170"/>
    </row>
    <row r="42" spans="1:23" ht="15.75" customHeight="1">
      <c r="A42" s="1744" t="s">
        <v>1764</v>
      </c>
      <c r="B42" s="1703">
        <f>IF(ISNA(Tabelle1!Q217),0,Tabelle1!Q217)</f>
        <v>0</v>
      </c>
      <c r="C42" s="1731"/>
      <c r="D42" s="1745"/>
      <c r="E42" s="1746"/>
      <c r="F42" s="1745"/>
      <c r="G42" s="1737">
        <f t="shared" si="3"/>
        <v>0</v>
      </c>
      <c r="H42" s="1736">
        <f t="shared" si="0"/>
        <v>0</v>
      </c>
      <c r="I42" s="1737">
        <f t="shared" si="1"/>
        <v>0</v>
      </c>
      <c r="J42" s="962">
        <v>1</v>
      </c>
      <c r="L42" s="939"/>
      <c r="M42" s="938">
        <f t="shared" si="2"/>
        <v>0</v>
      </c>
      <c r="N42" s="958" t="str">
        <f t="shared" si="6"/>
        <v/>
      </c>
      <c r="O42" s="941">
        <f t="shared" si="4"/>
        <v>0</v>
      </c>
      <c r="P42" s="942" t="str">
        <f t="shared" si="5"/>
        <v/>
      </c>
      <c r="Q42" s="3170"/>
    </row>
    <row r="43" spans="1:23" ht="15.75" customHeight="1">
      <c r="A43" s="1738" t="s">
        <v>850</v>
      </c>
      <c r="B43" s="1702">
        <f>IF(ISNA(Tabelle1!Q218),0,Tabelle1!Q218)</f>
        <v>0</v>
      </c>
      <c r="C43" s="1715"/>
      <c r="D43" s="1739"/>
      <c r="E43" s="1740"/>
      <c r="F43" s="1739"/>
      <c r="G43" s="1721">
        <f t="shared" si="3"/>
        <v>0</v>
      </c>
      <c r="H43" s="1720">
        <f t="shared" si="0"/>
        <v>0</v>
      </c>
      <c r="I43" s="1721">
        <f t="shared" si="1"/>
        <v>0</v>
      </c>
      <c r="J43" s="959">
        <v>1</v>
      </c>
      <c r="L43" s="930"/>
      <c r="M43" s="918">
        <f t="shared" si="2"/>
        <v>0</v>
      </c>
      <c r="N43" s="932" t="str">
        <f t="shared" si="6"/>
        <v/>
      </c>
      <c r="O43" s="945">
        <f t="shared" si="4"/>
        <v>0</v>
      </c>
      <c r="P43" s="936" t="str">
        <f t="shared" si="5"/>
        <v/>
      </c>
      <c r="Q43" s="3170"/>
    </row>
    <row r="44" spans="1:23" ht="15.75" customHeight="1">
      <c r="A44" s="1741" t="s">
        <v>850</v>
      </c>
      <c r="B44" s="1702">
        <f>IF(ISNA(Tabelle1!Q219),0,Tabelle1!Q219)</f>
        <v>0</v>
      </c>
      <c r="C44" s="1723"/>
      <c r="D44" s="1742"/>
      <c r="E44" s="1743"/>
      <c r="F44" s="1742"/>
      <c r="G44" s="1729">
        <f t="shared" si="3"/>
        <v>0</v>
      </c>
      <c r="H44" s="1728">
        <f t="shared" si="0"/>
        <v>0</v>
      </c>
      <c r="I44" s="1729">
        <f t="shared" si="1"/>
        <v>0</v>
      </c>
      <c r="J44" s="961">
        <v>1</v>
      </c>
      <c r="L44" s="931"/>
      <c r="M44" s="922">
        <f t="shared" si="2"/>
        <v>0</v>
      </c>
      <c r="N44" s="932" t="str">
        <f t="shared" si="6"/>
        <v/>
      </c>
      <c r="O44" s="933">
        <f t="shared" si="4"/>
        <v>0</v>
      </c>
      <c r="P44" s="936" t="str">
        <f t="shared" si="5"/>
        <v/>
      </c>
      <c r="Q44" s="3170"/>
    </row>
    <row r="45" spans="1:23" ht="15.75" customHeight="1">
      <c r="A45" s="1744" t="s">
        <v>850</v>
      </c>
      <c r="B45" s="1703">
        <f>IF(ISNA(Tabelle1!Q220),0,Tabelle1!Q220)</f>
        <v>0</v>
      </c>
      <c r="C45" s="1731"/>
      <c r="D45" s="1745"/>
      <c r="E45" s="1746"/>
      <c r="F45" s="1745"/>
      <c r="G45" s="1737">
        <f t="shared" si="3"/>
        <v>0</v>
      </c>
      <c r="H45" s="1736">
        <f t="shared" si="0"/>
        <v>0</v>
      </c>
      <c r="I45" s="1737">
        <f t="shared" si="1"/>
        <v>0</v>
      </c>
      <c r="J45" s="962">
        <v>1</v>
      </c>
      <c r="L45" s="939"/>
      <c r="M45" s="938">
        <f t="shared" si="2"/>
        <v>0</v>
      </c>
      <c r="N45" s="958" t="str">
        <f t="shared" si="6"/>
        <v/>
      </c>
      <c r="O45" s="941">
        <f t="shared" si="4"/>
        <v>0</v>
      </c>
      <c r="P45" s="942" t="str">
        <f t="shared" si="5"/>
        <v/>
      </c>
      <c r="Q45" s="3170"/>
    </row>
    <row r="46" spans="1:23" ht="15.75" customHeight="1">
      <c r="A46" s="1738" t="s">
        <v>850</v>
      </c>
      <c r="B46" s="1702">
        <f>IF(ISNA(Tabelle1!Q221),0,Tabelle1!Q221)</f>
        <v>0</v>
      </c>
      <c r="C46" s="1715"/>
      <c r="D46" s="1739"/>
      <c r="E46" s="1740"/>
      <c r="F46" s="1739"/>
      <c r="G46" s="1721">
        <f t="shared" si="3"/>
        <v>0</v>
      </c>
      <c r="H46" s="1720">
        <f t="shared" si="0"/>
        <v>0</v>
      </c>
      <c r="I46" s="1721">
        <f t="shared" si="1"/>
        <v>0</v>
      </c>
      <c r="J46" s="959">
        <v>1</v>
      </c>
      <c r="L46" s="930"/>
      <c r="M46" s="918">
        <f t="shared" si="2"/>
        <v>0</v>
      </c>
      <c r="N46" s="932" t="str">
        <f t="shared" si="6"/>
        <v/>
      </c>
      <c r="O46" s="945">
        <f t="shared" si="4"/>
        <v>0</v>
      </c>
      <c r="P46" s="936" t="str">
        <f t="shared" si="5"/>
        <v/>
      </c>
      <c r="Q46" s="3170"/>
    </row>
    <row r="47" spans="1:23" ht="15.75" customHeight="1">
      <c r="A47" s="1744" t="s">
        <v>850</v>
      </c>
      <c r="B47" s="1703">
        <f>IF(ISNA(Tabelle1!Q222),0,Tabelle1!Q222)</f>
        <v>0</v>
      </c>
      <c r="C47" s="1731"/>
      <c r="D47" s="1745"/>
      <c r="E47" s="1746"/>
      <c r="F47" s="1745"/>
      <c r="G47" s="1737">
        <f t="shared" si="3"/>
        <v>0</v>
      </c>
      <c r="H47" s="1736">
        <f t="shared" si="0"/>
        <v>0</v>
      </c>
      <c r="I47" s="1737">
        <f t="shared" si="1"/>
        <v>0</v>
      </c>
      <c r="J47" s="962">
        <v>1</v>
      </c>
      <c r="L47" s="939"/>
      <c r="M47" s="938">
        <f t="shared" si="2"/>
        <v>0</v>
      </c>
      <c r="N47" s="958" t="str">
        <f t="shared" si="6"/>
        <v/>
      </c>
      <c r="O47" s="941">
        <f t="shared" si="4"/>
        <v>0</v>
      </c>
      <c r="P47" s="942" t="str">
        <f t="shared" si="5"/>
        <v/>
      </c>
      <c r="Q47" s="3170"/>
    </row>
    <row r="48" spans="1:23" ht="15.75" customHeight="1">
      <c r="A48" s="1738" t="s">
        <v>850</v>
      </c>
      <c r="B48" s="1702">
        <f>IF(ISNA(Tabelle1!Q223),0,Tabelle1!Q223)</f>
        <v>0</v>
      </c>
      <c r="C48" s="1715"/>
      <c r="D48" s="1739"/>
      <c r="E48" s="1740"/>
      <c r="F48" s="1739"/>
      <c r="G48" s="1721">
        <f t="shared" si="3"/>
        <v>0</v>
      </c>
      <c r="H48" s="1720">
        <f t="shared" si="0"/>
        <v>0</v>
      </c>
      <c r="I48" s="1721">
        <f t="shared" si="1"/>
        <v>0</v>
      </c>
      <c r="J48" s="959">
        <v>1</v>
      </c>
      <c r="L48" s="930"/>
      <c r="M48" s="918">
        <f t="shared" si="2"/>
        <v>0</v>
      </c>
      <c r="N48" s="932" t="str">
        <f t="shared" si="6"/>
        <v/>
      </c>
      <c r="O48" s="945">
        <f t="shared" si="4"/>
        <v>0</v>
      </c>
      <c r="P48" s="936" t="str">
        <f t="shared" si="5"/>
        <v/>
      </c>
      <c r="Q48" s="3170"/>
    </row>
    <row r="49" spans="1:17" ht="15.75" customHeight="1">
      <c r="A49" s="1741" t="s">
        <v>850</v>
      </c>
      <c r="B49" s="1703">
        <f>IF(ISNA(Tabelle1!Q224),0,Tabelle1!Q224)</f>
        <v>0</v>
      </c>
      <c r="C49" s="1723"/>
      <c r="D49" s="1742"/>
      <c r="E49" s="1743"/>
      <c r="F49" s="1742"/>
      <c r="G49" s="1729">
        <f t="shared" si="3"/>
        <v>0</v>
      </c>
      <c r="H49" s="1728">
        <f t="shared" si="0"/>
        <v>0</v>
      </c>
      <c r="I49" s="1729">
        <f t="shared" si="1"/>
        <v>0</v>
      </c>
      <c r="J49" s="961">
        <v>1</v>
      </c>
      <c r="L49" s="931"/>
      <c r="M49" s="922">
        <f t="shared" si="2"/>
        <v>0</v>
      </c>
      <c r="N49" s="932" t="str">
        <f t="shared" si="6"/>
        <v/>
      </c>
      <c r="O49" s="933">
        <f t="shared" si="4"/>
        <v>0</v>
      </c>
      <c r="P49" s="936" t="str">
        <f t="shared" si="5"/>
        <v/>
      </c>
      <c r="Q49" s="3170"/>
    </row>
    <row r="50" spans="1:17" ht="25.5" customHeight="1">
      <c r="A50" s="3171" t="s">
        <v>852</v>
      </c>
      <c r="B50" s="3172"/>
      <c r="C50" s="3171"/>
      <c r="D50" s="3171"/>
      <c r="E50" s="3171"/>
      <c r="F50" s="3171"/>
      <c r="G50" s="668">
        <f>SUM(G4:G49)</f>
        <v>0</v>
      </c>
      <c r="H50" s="963">
        <f>SUM(H4:H49)</f>
        <v>0</v>
      </c>
      <c r="I50" s="963">
        <f>SUM(I4:I49)</f>
        <v>0</v>
      </c>
      <c r="J50" s="964"/>
      <c r="L50" s="2812" t="s">
        <v>853</v>
      </c>
      <c r="M50" s="965">
        <f>SUM(M4:M49)</f>
        <v>0</v>
      </c>
      <c r="N50" s="3173" t="s">
        <v>854</v>
      </c>
      <c r="O50" s="3173"/>
      <c r="P50" s="966">
        <f>SUM(P7:P49)</f>
        <v>0</v>
      </c>
      <c r="Q50" s="967"/>
    </row>
    <row r="51" spans="1:17" ht="18.75" customHeight="1">
      <c r="A51" s="2815" t="s">
        <v>855</v>
      </c>
      <c r="B51" s="968"/>
      <c r="C51" s="969"/>
      <c r="D51" s="969"/>
      <c r="E51" s="969"/>
      <c r="F51" s="969"/>
      <c r="G51" s="969"/>
      <c r="H51" s="969"/>
      <c r="I51" s="969"/>
      <c r="J51" s="969"/>
    </row>
    <row r="52" spans="1:17" ht="18" customHeight="1">
      <c r="A52" s="970" t="s">
        <v>856</v>
      </c>
      <c r="B52" s="970"/>
      <c r="C52" s="969"/>
      <c r="D52" s="969"/>
      <c r="E52" s="969"/>
      <c r="F52" s="969"/>
      <c r="G52" s="969"/>
      <c r="H52" s="969"/>
      <c r="I52" s="969"/>
      <c r="J52" s="969"/>
    </row>
  </sheetData>
  <sheetProtection password="CC3A" sheet="1" objects="1" scenarios="1" formatCells="0" formatColumns="0" formatRows="0"/>
  <mergeCells count="19">
    <mergeCell ref="V13:W15"/>
    <mergeCell ref="S17:W28"/>
    <mergeCell ref="S30:W39"/>
    <mergeCell ref="Q40:Q49"/>
    <mergeCell ref="A50:F50"/>
    <mergeCell ref="N50:O50"/>
    <mergeCell ref="X2:Z2"/>
    <mergeCell ref="L3:M3"/>
    <mergeCell ref="N3:O5"/>
    <mergeCell ref="P3:Q6"/>
    <mergeCell ref="S3:S4"/>
    <mergeCell ref="A2:B2"/>
    <mergeCell ref="D2:E2"/>
    <mergeCell ref="L2:Q2"/>
    <mergeCell ref="S11:W12"/>
    <mergeCell ref="I1:J1"/>
    <mergeCell ref="L1:M1"/>
    <mergeCell ref="N1:Q1"/>
    <mergeCell ref="S1:W2"/>
  </mergeCells>
  <conditionalFormatting sqref="G4:I49">
    <cfRule type="cellIs" dxfId="20" priority="1" stopIfTrue="1" operator="greaterThan">
      <formula>0</formula>
    </cfRule>
  </conditionalFormatting>
  <conditionalFormatting sqref="M4:M49">
    <cfRule type="cellIs" dxfId="19" priority="2" stopIfTrue="1" operator="greaterThan">
      <formula>0</formula>
    </cfRule>
  </conditionalFormatting>
  <conditionalFormatting sqref="O7:O49">
    <cfRule type="cellIs" dxfId="18" priority="3" stopIfTrue="1" operator="greaterThan">
      <formula>0</formula>
    </cfRule>
  </conditionalFormatting>
  <hyperlinks>
    <hyperlink ref="I1" location="Hofdung!A3" display="◄"/>
    <hyperlink ref="L1" location="N_Bedarf!C5" display="  ►"/>
    <hyperlink ref="I1:J1" location="Organ__Dü!A3" display="◄"/>
    <hyperlink ref="L1:M1" location="Ergebnis!C5" display="  ►"/>
  </hyperlinks>
  <pageMargins left="0.55118110236220474" right="0.39370078740157483" top="0.62992125984251968" bottom="0.70866141732283472" header="0.51181102362204722" footer="0.39370078740157483"/>
  <pageSetup paperSize="9" scale="83" firstPageNumber="0" orientation="portrait" blackAndWhite="1" horizontalDpi="300" verticalDpi="300"/>
  <headerFooter alignWithMargins="0">
    <oddFooter>&amp;L&amp;11&amp;F</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82"/>
  <sheetViews>
    <sheetView showZeros="0" zoomScale="80" zoomScaleNormal="80" zoomScalePageLayoutView="80" workbookViewId="0">
      <selection activeCell="H1" sqref="H1:I1"/>
    </sheetView>
  </sheetViews>
  <sheetFormatPr baseColWidth="10" defaultColWidth="12.28515625" defaultRowHeight="12.75"/>
  <cols>
    <col min="1" max="1" width="2.28515625" customWidth="1"/>
    <col min="2" max="2" width="47.28515625" customWidth="1"/>
    <col min="3" max="3" width="9" customWidth="1"/>
    <col min="4" max="4" width="14.85546875" customWidth="1"/>
    <col min="5" max="5" width="12.7109375" customWidth="1"/>
    <col min="6" max="6" width="13.28515625" customWidth="1"/>
    <col min="7" max="7" width="14.7109375" customWidth="1"/>
    <col min="8" max="10" width="9.85546875" customWidth="1"/>
    <col min="11" max="11" width="13.140625" customWidth="1"/>
  </cols>
  <sheetData>
    <row r="1" spans="1:11" ht="55.5" customHeight="1">
      <c r="A1" s="445"/>
      <c r="B1" s="1119" t="s">
        <v>1391</v>
      </c>
      <c r="C1" s="1120"/>
      <c r="D1" s="1120"/>
      <c r="E1" s="1120"/>
      <c r="F1" s="1121"/>
      <c r="H1" s="3175" t="s">
        <v>413</v>
      </c>
      <c r="I1" s="3176"/>
      <c r="J1" s="3175" t="s">
        <v>381</v>
      </c>
      <c r="K1" s="3176"/>
    </row>
    <row r="2" spans="1:11" ht="22.5" customHeight="1">
      <c r="A2" s="1122"/>
      <c r="B2" s="1123">
        <f>Betrieb!B4</f>
        <v>0</v>
      </c>
      <c r="C2" s="1794"/>
      <c r="D2" s="451"/>
      <c r="E2" s="1125" t="s">
        <v>1392</v>
      </c>
      <c r="F2" s="1124">
        <f ca="1">TODAY()</f>
        <v>42859</v>
      </c>
    </row>
    <row r="3" spans="1:11" ht="22.5" customHeight="1">
      <c r="A3" s="1122"/>
      <c r="B3" s="1123">
        <f>Betrieb!B5</f>
        <v>0</v>
      </c>
      <c r="C3" s="1794"/>
      <c r="D3" s="1795"/>
      <c r="E3" s="1125" t="s">
        <v>1393</v>
      </c>
      <c r="F3" s="1792">
        <f>Betrieb!C3</f>
        <v>0</v>
      </c>
    </row>
    <row r="4" spans="1:11" ht="22.5" customHeight="1">
      <c r="A4" s="1122"/>
      <c r="B4" s="1123" t="str">
        <f>CONCATENATE(Betrieb!B6&amp;"  "&amp;Betrieb!C6)</f>
        <v xml:space="preserve">  </v>
      </c>
      <c r="C4" s="1794"/>
      <c r="D4" s="1795"/>
      <c r="E4" s="1125" t="s">
        <v>416</v>
      </c>
      <c r="F4" s="1793">
        <f>Betrieb!E4</f>
        <v>2017</v>
      </c>
    </row>
    <row r="5" spans="1:11" ht="9.75" customHeight="1">
      <c r="A5" s="1122"/>
      <c r="B5" s="1126"/>
      <c r="C5" s="1127"/>
      <c r="D5" s="1127"/>
      <c r="E5" s="1128"/>
      <c r="F5" s="1129"/>
    </row>
    <row r="6" spans="1:11" ht="48" customHeight="1">
      <c r="A6" s="1122"/>
      <c r="B6" s="3177" t="s">
        <v>1394</v>
      </c>
      <c r="C6" s="3177"/>
      <c r="D6" s="3177"/>
      <c r="E6" s="3177"/>
      <c r="F6" s="3177"/>
    </row>
    <row r="7" spans="1:11" ht="24" customHeight="1">
      <c r="A7" s="1122"/>
      <c r="B7" s="1130" t="s">
        <v>1395</v>
      </c>
      <c r="C7" s="1131"/>
      <c r="D7" s="1131"/>
      <c r="E7" s="1132"/>
      <c r="F7" s="1133">
        <f>Betrieb!E14</f>
        <v>0</v>
      </c>
    </row>
    <row r="8" spans="1:11" ht="24" customHeight="1">
      <c r="A8" s="1122"/>
      <c r="B8" s="1130" t="s">
        <v>1396</v>
      </c>
      <c r="C8" s="1131"/>
      <c r="D8" s="1131"/>
      <c r="E8" s="1132"/>
      <c r="F8" s="1133">
        <f>N_Bedarf!AI26</f>
        <v>0</v>
      </c>
    </row>
    <row r="9" spans="1:11" ht="23.25" customHeight="1">
      <c r="A9" s="1122"/>
      <c r="B9" s="1134" t="s">
        <v>1397</v>
      </c>
      <c r="C9" s="1135"/>
      <c r="D9" s="1135"/>
      <c r="E9" s="1135"/>
      <c r="F9" s="1136">
        <f>Tabelle1!AX20</f>
        <v>0</v>
      </c>
    </row>
    <row r="10" spans="1:11" ht="31.5" customHeight="1">
      <c r="A10" s="1122"/>
      <c r="B10" s="3178" t="s">
        <v>1398</v>
      </c>
      <c r="C10" s="3178"/>
      <c r="D10" s="3178"/>
      <c r="E10" s="3178"/>
      <c r="F10" s="1137">
        <f>Tabelle1!AX32</f>
        <v>0</v>
      </c>
    </row>
    <row r="11" spans="1:11" ht="18" customHeight="1">
      <c r="A11" s="1122"/>
      <c r="B11" s="3178" t="s">
        <v>1399</v>
      </c>
      <c r="C11" s="3178"/>
      <c r="D11" s="1138"/>
      <c r="E11" s="88" t="s">
        <v>1400</v>
      </c>
      <c r="F11" s="1139">
        <f>IF(F12=0,0,F12/Betrieb!E14)</f>
        <v>0</v>
      </c>
    </row>
    <row r="12" spans="1:11" ht="27" customHeight="1">
      <c r="A12" s="1122"/>
      <c r="B12" s="3178"/>
      <c r="C12" s="3178"/>
      <c r="D12" s="1140"/>
      <c r="E12" s="1141" t="s">
        <v>1401</v>
      </c>
      <c r="F12" s="1136">
        <f>Tabelle1!AX33</f>
        <v>0</v>
      </c>
      <c r="I12" s="1796"/>
    </row>
    <row r="13" spans="1:11" ht="30.75" customHeight="1">
      <c r="A13" s="1122"/>
      <c r="B13" s="3174" t="s">
        <v>1402</v>
      </c>
      <c r="C13" s="3174"/>
      <c r="D13" s="3174"/>
      <c r="E13" s="3174"/>
      <c r="F13" s="1136">
        <f>Tabelle1!AX65</f>
        <v>0</v>
      </c>
    </row>
    <row r="14" spans="1:11" ht="30.75" customHeight="1">
      <c r="A14" s="1122"/>
      <c r="B14" s="3181" t="s">
        <v>1403</v>
      </c>
      <c r="C14" s="3181"/>
      <c r="D14" s="3181"/>
      <c r="E14" s="3181"/>
      <c r="F14" s="1136">
        <f>Tabelle1!AX76</f>
        <v>0</v>
      </c>
    </row>
    <row r="15" spans="1:11" ht="20.25" customHeight="1">
      <c r="A15" s="1122"/>
      <c r="B15" s="3178" t="s">
        <v>1404</v>
      </c>
      <c r="C15" s="3178"/>
      <c r="D15" s="3178"/>
      <c r="E15" s="190" t="s">
        <v>1400</v>
      </c>
      <c r="F15" s="1136">
        <f>Tiere!G34</f>
        <v>0</v>
      </c>
    </row>
    <row r="16" spans="1:11" ht="24.75" customHeight="1">
      <c r="A16" s="1122"/>
      <c r="B16" s="3178"/>
      <c r="C16" s="3178"/>
      <c r="D16" s="3178"/>
      <c r="E16" s="1142" t="s">
        <v>1405</v>
      </c>
      <c r="F16" s="1136">
        <f>Tabelle1!AX69</f>
        <v>0</v>
      </c>
    </row>
    <row r="17" spans="1:6" ht="30.75" customHeight="1">
      <c r="A17" s="1122"/>
      <c r="B17" s="1143" t="s">
        <v>1406</v>
      </c>
      <c r="C17" s="1144"/>
      <c r="D17" s="1144"/>
      <c r="E17" s="1145"/>
      <c r="F17" s="1136">
        <f>Tabelle1!AX78</f>
        <v>0</v>
      </c>
    </row>
    <row r="18" spans="1:6" ht="30.75" customHeight="1">
      <c r="A18" s="1122"/>
      <c r="B18" s="1146" t="s">
        <v>1407</v>
      </c>
      <c r="C18" s="1147"/>
      <c r="D18" s="1147"/>
      <c r="E18" s="1148"/>
      <c r="F18" s="1136">
        <f>N_Bedarf!I27</f>
        <v>0</v>
      </c>
    </row>
    <row r="19" spans="1:6" ht="30.75" customHeight="1">
      <c r="A19" s="1122"/>
      <c r="B19" s="1149" t="s">
        <v>1408</v>
      </c>
      <c r="C19" s="1150"/>
      <c r="D19" s="1150"/>
      <c r="E19" s="1151"/>
      <c r="F19" s="1152">
        <f>N_Bedarf!I29</f>
        <v>0</v>
      </c>
    </row>
    <row r="20" spans="1:6" ht="30.75" customHeight="1">
      <c r="A20" s="1122"/>
      <c r="B20" s="1153" t="s">
        <v>1409</v>
      </c>
      <c r="C20" s="1154"/>
      <c r="D20" s="1154"/>
      <c r="E20" s="1155"/>
      <c r="F20" s="1156" t="str">
        <f>IF(N_Bedarf!L29=0,"OK! - Kein mineral. P",N_Bedarf!L29)</f>
        <v>Ok!</v>
      </c>
    </row>
    <row r="21" spans="1:6" ht="11.25" customHeight="1">
      <c r="A21" s="1122"/>
      <c r="B21" s="1157"/>
      <c r="C21" s="1158"/>
      <c r="D21" s="1158"/>
      <c r="E21" s="1159"/>
      <c r="F21" s="1160"/>
    </row>
    <row r="22" spans="1:6" ht="33" customHeight="1">
      <c r="A22" s="1122"/>
      <c r="B22" s="1161" t="s">
        <v>1410</v>
      </c>
      <c r="C22" s="1150"/>
      <c r="D22" s="1150"/>
      <c r="E22" s="1162"/>
      <c r="F22" s="1163" t="s">
        <v>1411</v>
      </c>
    </row>
    <row r="23" spans="1:6" ht="36" customHeight="1">
      <c r="A23" s="1122"/>
      <c r="B23" s="3182" t="s">
        <v>1412</v>
      </c>
      <c r="C23" s="3182"/>
      <c r="D23" s="3182"/>
      <c r="E23" s="3182"/>
      <c r="F23" s="1164" t="str">
        <f>IF(F11&lt;=170,"ja","nein")</f>
        <v>ja</v>
      </c>
    </row>
    <row r="24" spans="1:6" ht="46.5" customHeight="1">
      <c r="A24" s="1122"/>
      <c r="B24" s="3182" t="s">
        <v>1413</v>
      </c>
      <c r="C24" s="3182"/>
      <c r="D24" s="3182"/>
      <c r="E24" s="3182"/>
      <c r="F24" s="1165">
        <f>IF(F15=0,0,IF(AND(Betrieb!I11="",F15&lt;=175),"ja",IF(AND(Betrieb!I11="Nein",F15&lt;=175),"ja",IF(AND(Betrieb!I11="ja",F15&lt;=210),"ja",IF(AND(Betrieb!I11="",F15&gt;175,F15&lt;=210),"Fruchtf. definieren!","nein")))))</f>
        <v>0</v>
      </c>
    </row>
    <row r="25" spans="1:6" ht="29.25" customHeight="1">
      <c r="A25" s="1122"/>
      <c r="B25" s="3182" t="s">
        <v>1414</v>
      </c>
      <c r="C25" s="3182"/>
      <c r="D25" s="3182"/>
      <c r="E25" s="3182"/>
      <c r="F25" s="1164" t="str">
        <f>IF(F19&lt;=0,"ja","nein")</f>
        <v>ja</v>
      </c>
    </row>
    <row r="26" spans="1:6" ht="29.25" customHeight="1">
      <c r="A26" s="1122"/>
      <c r="B26" s="3183" t="str">
        <f>IF(Tabelle1!AO14=1,"• Die Einhaltung des Phosphormindeststandard im ÖPUL 2015","• Der Phosphormindeststansard gilt nur für ÖPUL Teilnehmer")</f>
        <v>• Die Einhaltung des Phosphormindeststandard im ÖPUL 2015</v>
      </c>
      <c r="C26" s="3183"/>
      <c r="D26" s="3183"/>
      <c r="E26" s="3183"/>
      <c r="F26" s="1166" t="str">
        <f>IF(Tabelle1!AO14=0," ",IF(OR(Tabelle1!AO12=1,F20&lt;=0),"ja","nein"))</f>
        <v>ja</v>
      </c>
    </row>
    <row r="27" spans="1:6" ht="35.25" customHeight="1">
      <c r="A27" s="1122"/>
      <c r="B27" s="3184" t="str">
        <f>Tabelle1!DD23</f>
        <v/>
      </c>
      <c r="C27" s="3185"/>
      <c r="D27" s="3185"/>
      <c r="E27" s="3186"/>
      <c r="F27" s="1166" t="str">
        <f>IF(Tabelle1!DE23=1,"Achtung!","")</f>
        <v/>
      </c>
    </row>
    <row r="28" spans="1:6" ht="15.75" customHeight="1"/>
    <row r="29" spans="1:6" ht="45.75" customHeight="1">
      <c r="A29" s="1122"/>
      <c r="B29" s="3179" t="s">
        <v>1415</v>
      </c>
      <c r="C29" s="3179"/>
      <c r="D29" s="3179"/>
      <c r="E29" s="3179"/>
      <c r="F29" s="3179"/>
    </row>
    <row r="30" spans="1:6" ht="30" customHeight="1">
      <c r="A30" s="1122"/>
      <c r="B30" s="801" t="s">
        <v>1416</v>
      </c>
      <c r="C30" s="1167" t="s">
        <v>1417</v>
      </c>
      <c r="D30" s="1167" t="s">
        <v>1418</v>
      </c>
      <c r="E30" s="1168" t="s">
        <v>1419</v>
      </c>
      <c r="F30" s="1167" t="s">
        <v>1420</v>
      </c>
    </row>
    <row r="31" spans="1:6" ht="25.5" customHeight="1">
      <c r="A31" s="1122"/>
      <c r="B31" s="1169">
        <f>N_Bedarf!C5</f>
        <v>0</v>
      </c>
      <c r="C31" s="1170">
        <f>N_Bedarf!E5</f>
        <v>0</v>
      </c>
      <c r="D31" s="1171">
        <f>N_Bedarf!F5</f>
        <v>0</v>
      </c>
      <c r="E31" s="1171">
        <f>N_Bedarf!H5</f>
        <v>0</v>
      </c>
      <c r="F31" s="1172">
        <f>N_Bedarf!I5</f>
        <v>0</v>
      </c>
    </row>
    <row r="32" spans="1:6" ht="25.5" customHeight="1">
      <c r="A32" s="1122"/>
      <c r="B32" s="1169">
        <f>N_Bedarf!C6</f>
        <v>0</v>
      </c>
      <c r="C32" s="1170">
        <f>N_Bedarf!E6</f>
        <v>0</v>
      </c>
      <c r="D32" s="1171">
        <f>N_Bedarf!F6</f>
        <v>0</v>
      </c>
      <c r="E32" s="1171">
        <f>N_Bedarf!H6</f>
        <v>0</v>
      </c>
      <c r="F32" s="1172">
        <f>N_Bedarf!I6</f>
        <v>0</v>
      </c>
    </row>
    <row r="33" spans="1:6" ht="25.5" customHeight="1">
      <c r="A33" s="1122"/>
      <c r="B33" s="1169">
        <f>N_Bedarf!C7</f>
        <v>0</v>
      </c>
      <c r="C33" s="1170">
        <f>N_Bedarf!E7</f>
        <v>0</v>
      </c>
      <c r="D33" s="1171">
        <f>N_Bedarf!F7</f>
        <v>0</v>
      </c>
      <c r="E33" s="1171">
        <f>N_Bedarf!H7</f>
        <v>0</v>
      </c>
      <c r="F33" s="1172">
        <f>N_Bedarf!I7</f>
        <v>0</v>
      </c>
    </row>
    <row r="34" spans="1:6" ht="25.5" customHeight="1">
      <c r="A34" s="1122"/>
      <c r="B34" s="1169">
        <f>N_Bedarf!C8</f>
        <v>0</v>
      </c>
      <c r="C34" s="1170">
        <f>N_Bedarf!E8</f>
        <v>0</v>
      </c>
      <c r="D34" s="1171">
        <f>N_Bedarf!F8</f>
        <v>0</v>
      </c>
      <c r="E34" s="1171">
        <f>N_Bedarf!H8</f>
        <v>0</v>
      </c>
      <c r="F34" s="1172">
        <f>N_Bedarf!I8</f>
        <v>0</v>
      </c>
    </row>
    <row r="35" spans="1:6" ht="25.5" customHeight="1">
      <c r="A35" s="1122"/>
      <c r="B35" s="1169">
        <f>N_Bedarf!C9</f>
        <v>0</v>
      </c>
      <c r="C35" s="1170">
        <f>N_Bedarf!E9</f>
        <v>0</v>
      </c>
      <c r="D35" s="1171">
        <f>N_Bedarf!F9</f>
        <v>0</v>
      </c>
      <c r="E35" s="1171">
        <f>N_Bedarf!H9</f>
        <v>0</v>
      </c>
      <c r="F35" s="1172">
        <f>N_Bedarf!I9</f>
        <v>0</v>
      </c>
    </row>
    <row r="36" spans="1:6" ht="25.5" customHeight="1">
      <c r="A36" s="1122"/>
      <c r="B36" s="1169">
        <f>N_Bedarf!C10</f>
        <v>0</v>
      </c>
      <c r="C36" s="1170">
        <f>N_Bedarf!E10</f>
        <v>0</v>
      </c>
      <c r="D36" s="1171">
        <f>N_Bedarf!F10</f>
        <v>0</v>
      </c>
      <c r="E36" s="1171">
        <f>N_Bedarf!H10</f>
        <v>0</v>
      </c>
      <c r="F36" s="1172">
        <f>N_Bedarf!I10</f>
        <v>0</v>
      </c>
    </row>
    <row r="37" spans="1:6" ht="25.5" customHeight="1">
      <c r="A37" s="1122"/>
      <c r="B37" s="1169">
        <f>N_Bedarf!C11</f>
        <v>0</v>
      </c>
      <c r="C37" s="1170">
        <f>N_Bedarf!E11</f>
        <v>0</v>
      </c>
      <c r="D37" s="1171">
        <f>N_Bedarf!F11</f>
        <v>0</v>
      </c>
      <c r="E37" s="1171">
        <f>N_Bedarf!H11</f>
        <v>0</v>
      </c>
      <c r="F37" s="1172">
        <f>N_Bedarf!I11</f>
        <v>0</v>
      </c>
    </row>
    <row r="38" spans="1:6" ht="25.5" customHeight="1">
      <c r="A38" s="1122"/>
      <c r="B38" s="1169">
        <f>N_Bedarf!C12</f>
        <v>0</v>
      </c>
      <c r="C38" s="1170">
        <f>N_Bedarf!E12</f>
        <v>0</v>
      </c>
      <c r="D38" s="1171">
        <f>N_Bedarf!F12</f>
        <v>0</v>
      </c>
      <c r="E38" s="1171">
        <f>N_Bedarf!H12</f>
        <v>0</v>
      </c>
      <c r="F38" s="1172">
        <f>N_Bedarf!I12</f>
        <v>0</v>
      </c>
    </row>
    <row r="39" spans="1:6" ht="25.5" customHeight="1">
      <c r="A39" s="1122"/>
      <c r="B39" s="1169">
        <f>N_Bedarf!C13</f>
        <v>0</v>
      </c>
      <c r="C39" s="1170">
        <f>N_Bedarf!E13</f>
        <v>0</v>
      </c>
      <c r="D39" s="1171">
        <f>N_Bedarf!F13</f>
        <v>0</v>
      </c>
      <c r="E39" s="1171">
        <f>N_Bedarf!H13</f>
        <v>0</v>
      </c>
      <c r="F39" s="1172">
        <f>N_Bedarf!I13</f>
        <v>0</v>
      </c>
    </row>
    <row r="40" spans="1:6" ht="25.5" customHeight="1">
      <c r="A40" s="1122"/>
      <c r="B40" s="1169">
        <f>N_Bedarf!C14</f>
        <v>0</v>
      </c>
      <c r="C40" s="1170">
        <f>N_Bedarf!E14</f>
        <v>0</v>
      </c>
      <c r="D40" s="1171">
        <f>N_Bedarf!F14</f>
        <v>0</v>
      </c>
      <c r="E40" s="1171">
        <f>N_Bedarf!H14</f>
        <v>0</v>
      </c>
      <c r="F40" s="1172">
        <f>N_Bedarf!I14</f>
        <v>0</v>
      </c>
    </row>
    <row r="41" spans="1:6" ht="25.5" customHeight="1">
      <c r="A41" s="1122"/>
      <c r="B41" s="1169">
        <f>N_Bedarf!C15</f>
        <v>0</v>
      </c>
      <c r="C41" s="1170">
        <f>N_Bedarf!E15</f>
        <v>0</v>
      </c>
      <c r="D41" s="1171">
        <f>N_Bedarf!F15</f>
        <v>0</v>
      </c>
      <c r="E41" s="1171">
        <f>N_Bedarf!H15</f>
        <v>0</v>
      </c>
      <c r="F41" s="1172">
        <f>N_Bedarf!I15</f>
        <v>0</v>
      </c>
    </row>
    <row r="42" spans="1:6" ht="25.5" customHeight="1">
      <c r="A42" s="1122"/>
      <c r="B42" s="1169">
        <f>N_Bedarf!C16</f>
        <v>0</v>
      </c>
      <c r="C42" s="1170">
        <f>N_Bedarf!E16</f>
        <v>0</v>
      </c>
      <c r="D42" s="1171">
        <f>N_Bedarf!F16</f>
        <v>0</v>
      </c>
      <c r="E42" s="1171">
        <f>N_Bedarf!H16</f>
        <v>0</v>
      </c>
      <c r="F42" s="1172">
        <f>N_Bedarf!I16</f>
        <v>0</v>
      </c>
    </row>
    <row r="43" spans="1:6" ht="25.5" customHeight="1">
      <c r="A43" s="1122"/>
      <c r="B43" s="1169">
        <f>N_Bedarf!C17</f>
        <v>0</v>
      </c>
      <c r="C43" s="1170">
        <f>N_Bedarf!E17</f>
        <v>0</v>
      </c>
      <c r="D43" s="1171">
        <f>N_Bedarf!F17</f>
        <v>0</v>
      </c>
      <c r="E43" s="1171">
        <f>N_Bedarf!H17</f>
        <v>0</v>
      </c>
      <c r="F43" s="1172">
        <f>N_Bedarf!I17</f>
        <v>0</v>
      </c>
    </row>
    <row r="44" spans="1:6" ht="25.5" customHeight="1">
      <c r="A44" s="1122"/>
      <c r="B44" s="1173" t="str">
        <f>N_Bedarf!C18</f>
        <v>diverse Grünbrachen zB Biodiv.</v>
      </c>
      <c r="C44" s="1174">
        <f>N_Bedarf!E18</f>
        <v>0</v>
      </c>
      <c r="D44" s="1175">
        <f>N_Bedarf!F18</f>
        <v>0</v>
      </c>
      <c r="E44" s="1175">
        <f>N_Bedarf!H18</f>
        <v>0</v>
      </c>
      <c r="F44" s="1176">
        <f>N_Bedarf!I18</f>
        <v>0</v>
      </c>
    </row>
    <row r="45" spans="1:6" ht="27.75" customHeight="1">
      <c r="A45" s="1122"/>
      <c r="B45" s="1177" t="str">
        <f>N_Bedarf!C19</f>
        <v>Grünland</v>
      </c>
      <c r="C45" s="801" t="str">
        <f>N_Bedarf!E19</f>
        <v>ha</v>
      </c>
      <c r="D45" s="1167" t="s">
        <v>1418</v>
      </c>
      <c r="E45" s="802" t="s">
        <v>1419</v>
      </c>
      <c r="F45" s="762" t="s">
        <v>1421</v>
      </c>
    </row>
    <row r="46" spans="1:6" ht="25.5" customHeight="1">
      <c r="A46" s="1122"/>
      <c r="B46" s="1169">
        <f>N_Bedarf!C20</f>
        <v>0</v>
      </c>
      <c r="C46" s="1171">
        <f>N_Bedarf!E20</f>
        <v>0</v>
      </c>
      <c r="D46" s="1171">
        <f>N_Bedarf!F20</f>
        <v>0</v>
      </c>
      <c r="E46" s="1171">
        <f>N_Bedarf!H20</f>
        <v>0</v>
      </c>
      <c r="F46" s="1172">
        <f>N_Bedarf!I20</f>
        <v>0</v>
      </c>
    </row>
    <row r="47" spans="1:6" ht="25.5" customHeight="1">
      <c r="A47" s="1122"/>
      <c r="B47" s="1169">
        <f>N_Bedarf!C21</f>
        <v>0</v>
      </c>
      <c r="C47" s="1171">
        <f>N_Bedarf!E21</f>
        <v>0</v>
      </c>
      <c r="D47" s="1171">
        <f>N_Bedarf!F21</f>
        <v>0</v>
      </c>
      <c r="E47" s="1171">
        <f>N_Bedarf!H21</f>
        <v>0</v>
      </c>
      <c r="F47" s="1172">
        <f>N_Bedarf!I21</f>
        <v>0</v>
      </c>
    </row>
    <row r="48" spans="1:6" ht="25.5" customHeight="1">
      <c r="A48" s="1122"/>
      <c r="B48" s="1169">
        <f>N_Bedarf!C22</f>
        <v>0</v>
      </c>
      <c r="C48" s="1171">
        <f>N_Bedarf!E22</f>
        <v>0</v>
      </c>
      <c r="D48" s="1171">
        <f>N_Bedarf!F22</f>
        <v>0</v>
      </c>
      <c r="E48" s="1171">
        <f>N_Bedarf!H22</f>
        <v>0</v>
      </c>
      <c r="F48" s="1172">
        <f>N_Bedarf!I22</f>
        <v>0</v>
      </c>
    </row>
    <row r="49" spans="1:6" ht="25.5" customHeight="1">
      <c r="A49" s="1122"/>
      <c r="B49" s="1169">
        <f>N_Bedarf!C23</f>
        <v>0</v>
      </c>
      <c r="C49" s="1171">
        <f>N_Bedarf!E23</f>
        <v>0</v>
      </c>
      <c r="D49" s="1171">
        <f>N_Bedarf!F23</f>
        <v>0</v>
      </c>
      <c r="E49" s="1171">
        <f>N_Bedarf!H23</f>
        <v>0</v>
      </c>
      <c r="F49" s="1172">
        <f>N_Bedarf!I23</f>
        <v>0</v>
      </c>
    </row>
    <row r="50" spans="1:6" ht="25.5" customHeight="1">
      <c r="A50" s="1122"/>
      <c r="B50" s="1169">
        <f>N_Bedarf!C24</f>
        <v>0</v>
      </c>
      <c r="C50" s="1171">
        <f>N_Bedarf!E24</f>
        <v>0</v>
      </c>
      <c r="D50" s="1171">
        <f>N_Bedarf!F24</f>
        <v>0</v>
      </c>
      <c r="E50" s="1171">
        <f>N_Bedarf!H24</f>
        <v>0</v>
      </c>
      <c r="F50" s="1172">
        <f>N_Bedarf!I24</f>
        <v>0</v>
      </c>
    </row>
    <row r="51" spans="1:6" ht="25.5" customHeight="1">
      <c r="B51" s="1169">
        <f>N_Bedarf!C25</f>
        <v>0</v>
      </c>
      <c r="C51" s="1171">
        <f>N_Bedarf!E25</f>
        <v>0</v>
      </c>
      <c r="D51" s="1171">
        <f>N_Bedarf!F25</f>
        <v>0</v>
      </c>
      <c r="E51" s="1171">
        <f>N_Bedarf!H25</f>
        <v>0</v>
      </c>
      <c r="F51" s="1172">
        <f>N_Bedarf!I25</f>
        <v>0</v>
      </c>
    </row>
    <row r="52" spans="1:6" ht="25.5" customHeight="1">
      <c r="B52" s="3180" t="s">
        <v>1422</v>
      </c>
      <c r="C52" s="3180"/>
      <c r="D52" s="3180"/>
      <c r="E52" s="3180"/>
      <c r="F52" s="1172">
        <f>N_Bedarf!I26</f>
        <v>0</v>
      </c>
    </row>
    <row r="53" spans="1:6" ht="25.5" customHeight="1">
      <c r="B53" s="3180" t="s">
        <v>964</v>
      </c>
      <c r="C53" s="3180">
        <v>0</v>
      </c>
      <c r="D53" s="3180">
        <v>0</v>
      </c>
      <c r="E53" s="3180">
        <v>0</v>
      </c>
      <c r="F53" s="1172">
        <f>N_Bedarf!I27</f>
        <v>0</v>
      </c>
    </row>
    <row r="54" spans="1:6" ht="25.5" customHeight="1">
      <c r="B54" s="3180" t="s">
        <v>968</v>
      </c>
      <c r="C54" s="3180">
        <v>0</v>
      </c>
      <c r="D54" s="3180">
        <v>0</v>
      </c>
      <c r="E54" s="3180">
        <v>0</v>
      </c>
      <c r="F54" s="1172">
        <f>N_Bedarf!I28</f>
        <v>0</v>
      </c>
    </row>
    <row r="55" spans="1:6" ht="27.75" customHeight="1">
      <c r="B55" s="1178" t="str">
        <f>N_Bedarf!C29</f>
        <v>Der N-Saldo ist ok!</v>
      </c>
      <c r="C55" s="1179"/>
      <c r="D55" s="1179"/>
      <c r="E55" s="1180" t="s">
        <v>974</v>
      </c>
      <c r="F55" s="1181">
        <f>N_Bedarf!I29</f>
        <v>0</v>
      </c>
    </row>
    <row r="56" spans="1:6" ht="23.25" customHeight="1">
      <c r="C56" s="1182"/>
      <c r="D56" s="1182"/>
    </row>
    <row r="57" spans="1:6" ht="23.25" customHeight="1">
      <c r="B57" s="1183"/>
      <c r="C57" s="1182"/>
      <c r="D57" s="1182"/>
    </row>
    <row r="58" spans="1:6" ht="23.25" customHeight="1">
      <c r="C58" s="1182"/>
      <c r="D58" s="1182"/>
    </row>
    <row r="59" spans="1:6" ht="21" customHeight="1">
      <c r="C59" s="1182"/>
      <c r="D59" s="1182"/>
    </row>
    <row r="60" spans="1:6" ht="6" customHeight="1">
      <c r="C60" s="1182"/>
      <c r="D60" s="1182"/>
    </row>
    <row r="61" spans="1:6" ht="20.25" customHeight="1">
      <c r="C61" s="1182"/>
      <c r="D61" s="1182"/>
    </row>
    <row r="62" spans="1:6" ht="14.25">
      <c r="C62" s="1182"/>
      <c r="D62" s="1182"/>
    </row>
    <row r="63" spans="1:6" ht="27.75" customHeight="1">
      <c r="C63" s="1182"/>
      <c r="D63" s="1182"/>
    </row>
    <row r="64" spans="1:6" ht="35.25" customHeight="1">
      <c r="C64" s="1182"/>
      <c r="D64" s="1182"/>
    </row>
    <row r="65" spans="3:4" ht="24.75" customHeight="1">
      <c r="C65" s="1182"/>
      <c r="D65" s="1182"/>
    </row>
    <row r="66" spans="3:4" ht="35.25" customHeight="1">
      <c r="C66" s="1182"/>
      <c r="D66" s="1182"/>
    </row>
    <row r="67" spans="3:4" ht="21" customHeight="1">
      <c r="C67" s="1182"/>
      <c r="D67" s="1182"/>
    </row>
    <row r="68" spans="3:4" ht="27" customHeight="1">
      <c r="C68" s="1182"/>
      <c r="D68" s="1182"/>
    </row>
    <row r="69" spans="3:4" ht="22.5" customHeight="1">
      <c r="C69" s="1182"/>
      <c r="D69" s="1182"/>
    </row>
    <row r="70" spans="3:4" ht="21" customHeight="1">
      <c r="C70" s="1182"/>
      <c r="D70" s="1182"/>
    </row>
    <row r="71" spans="3:4" ht="7.5" customHeight="1">
      <c r="C71" s="1182"/>
      <c r="D71" s="1182"/>
    </row>
    <row r="72" spans="3:4" ht="18.75" customHeight="1">
      <c r="C72" s="1182"/>
      <c r="D72" s="1182"/>
    </row>
    <row r="73" spans="3:4" ht="27.75" customHeight="1">
      <c r="C73" s="1182"/>
      <c r="D73" s="1182"/>
    </row>
    <row r="74" spans="3:4" ht="25.5" customHeight="1">
      <c r="C74" s="1182"/>
      <c r="D74" s="1182"/>
    </row>
    <row r="75" spans="3:4" ht="24" customHeight="1">
      <c r="C75" s="1182"/>
      <c r="D75" s="1182"/>
    </row>
    <row r="76" spans="3:4" ht="30" customHeight="1">
      <c r="C76" s="1182"/>
      <c r="D76" s="1182"/>
    </row>
    <row r="77" spans="3:4" ht="24" customHeight="1">
      <c r="C77" s="1182"/>
      <c r="D77" s="1182"/>
    </row>
    <row r="78" spans="3:4" ht="21" customHeight="1">
      <c r="C78" s="1182"/>
      <c r="D78" s="1182"/>
    </row>
    <row r="79" spans="3:4" ht="21" customHeight="1">
      <c r="C79" s="1182"/>
      <c r="D79" s="1182"/>
    </row>
    <row r="82" spans="1:6" ht="14.25" customHeight="1">
      <c r="A82" s="1122"/>
      <c r="B82" s="1122"/>
      <c r="C82" s="1184"/>
      <c r="D82" s="1184"/>
      <c r="E82" s="1184"/>
      <c r="F82" s="1184"/>
    </row>
  </sheetData>
  <sheetProtection password="CC3A" sheet="1" objects="1" scenarios="1" formatCells="0" formatColumns="0" formatRows="0"/>
  <mergeCells count="17">
    <mergeCell ref="B29:F29"/>
    <mergeCell ref="B52:E52"/>
    <mergeCell ref="B53:E53"/>
    <mergeCell ref="B54:E54"/>
    <mergeCell ref="B14:E14"/>
    <mergeCell ref="B15:D16"/>
    <mergeCell ref="B23:E23"/>
    <mergeCell ref="B24:E24"/>
    <mergeCell ref="B25:E25"/>
    <mergeCell ref="B26:E26"/>
    <mergeCell ref="B27:E27"/>
    <mergeCell ref="B13:E13"/>
    <mergeCell ref="H1:I1"/>
    <mergeCell ref="J1:K1"/>
    <mergeCell ref="B6:F6"/>
    <mergeCell ref="B10:E10"/>
    <mergeCell ref="B11:C12"/>
  </mergeCells>
  <conditionalFormatting sqref="F23">
    <cfRule type="cellIs" dxfId="17" priority="2" stopIfTrue="1" operator="equal">
      <formula>"nein"</formula>
    </cfRule>
  </conditionalFormatting>
  <conditionalFormatting sqref="F24">
    <cfRule type="cellIs" dxfId="16" priority="3" stopIfTrue="1" operator="equal">
      <formula>"nein"</formula>
    </cfRule>
    <cfRule type="cellIs" dxfId="15" priority="4" stopIfTrue="1" operator="equal">
      <formula>"Fruchtf. definieren!"</formula>
    </cfRule>
  </conditionalFormatting>
  <conditionalFormatting sqref="F25">
    <cfRule type="cellIs" dxfId="14" priority="5" stopIfTrue="1" operator="equal">
      <formula>"nein"</formula>
    </cfRule>
  </conditionalFormatting>
  <conditionalFormatting sqref="F26">
    <cfRule type="cellIs" dxfId="13" priority="6" stopIfTrue="1" operator="equal">
      <formula>"nein"</formula>
    </cfRule>
  </conditionalFormatting>
  <conditionalFormatting sqref="F27">
    <cfRule type="cellIs" dxfId="12" priority="1" stopIfTrue="1" operator="equal">
      <formula>"Achtung!"</formula>
    </cfRule>
  </conditionalFormatting>
  <hyperlinks>
    <hyperlink ref="H1" location="Mineral!B3" display="◄"/>
    <hyperlink ref="H1:I1" location="Mineral!B3" display="◄"/>
    <hyperlink ref="J1" location="Ergebnis!H2" display="  ►"/>
    <hyperlink ref="J1:K1" location="Düngeplanung!H2" display="  ►"/>
  </hyperlinks>
  <pageMargins left="0.43307086614173229" right="0.35433070866141736" top="0.70866141732283472" bottom="0.59055118110236227" header="0.51181102362204722" footer="0.31496062992125984"/>
  <pageSetup paperSize="9" scale="97" firstPageNumber="0" fitToHeight="2" orientation="portrait" blackAndWhite="1" horizontalDpi="300" verticalDpi="300"/>
  <headerFooter alignWithMargins="0">
    <oddFooter>&amp;L&amp;F&amp;C&amp;A&amp;R&amp;P von &amp;N</oddFooter>
  </headerFooter>
  <rowBreaks count="2" manualBreakCount="2">
    <brk id="26" max="16383" man="1"/>
    <brk id="28" max="16383" man="1"/>
  </rowBreaks>
  <colBreaks count="1" manualBreakCount="1">
    <brk id="6"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48</vt:i4>
      </vt:variant>
    </vt:vector>
  </HeadingPairs>
  <TitlesOfParts>
    <vt:vector size="67" baseType="lpstr">
      <vt:lpstr>Info</vt:lpstr>
      <vt:lpstr>Betrieb</vt:lpstr>
      <vt:lpstr>N_Bedarf</vt:lpstr>
      <vt:lpstr>Tiere</vt:lpstr>
      <vt:lpstr>Hofdung</vt:lpstr>
      <vt:lpstr>Tabelle1</vt:lpstr>
      <vt:lpstr>Organ__Dü</vt:lpstr>
      <vt:lpstr>Mineral</vt:lpstr>
      <vt:lpstr>Ergebnis</vt:lpstr>
      <vt:lpstr>Düngeplanung</vt:lpstr>
      <vt:lpstr>N_Berechnung</vt:lpstr>
      <vt:lpstr>System I</vt:lpstr>
      <vt:lpstr>Weideblatt</vt:lpstr>
      <vt:lpstr>Bodennah</vt:lpstr>
      <vt:lpstr>Pfl_Schutz</vt:lpstr>
      <vt:lpstr>Schw_Geflügel</vt:lpstr>
      <vt:lpstr>Tierzahlen</vt:lpstr>
      <vt:lpstr>Dü-Verbote</vt:lpstr>
      <vt:lpstr>Gütesiegel</vt:lpstr>
      <vt:lpstr>Betrieb!__xlnm.Print_Area</vt:lpstr>
      <vt:lpstr>Ergebnis!__xlnm.Print_Area</vt:lpstr>
      <vt:lpstr>Hofdung!__xlnm.Print_Area</vt:lpstr>
      <vt:lpstr>Info!__xlnm.Print_Area</vt:lpstr>
      <vt:lpstr>Mineral!__xlnm.Print_Area</vt:lpstr>
      <vt:lpstr>N_Bedarf!__xlnm.Print_Area</vt:lpstr>
      <vt:lpstr>Organ__Dü!__xlnm.Print_Area</vt:lpstr>
      <vt:lpstr>Pfl_Schutz!__xlnm.Print_Area</vt:lpstr>
      <vt:lpstr>Schw_Geflügel!__xlnm.Print_Area</vt:lpstr>
      <vt:lpstr>'System I'!__xlnm.Print_Area</vt:lpstr>
      <vt:lpstr>Tiere!__xlnm.Print_Area</vt:lpstr>
      <vt:lpstr>__xlnm.Print_Area</vt:lpstr>
      <vt:lpstr>__xlnm.Print_Area_3</vt:lpstr>
      <vt:lpstr>__xlnm.Print_Area_5</vt:lpstr>
      <vt:lpstr>__xlnm.Print_Area_6</vt:lpstr>
      <vt:lpstr>__xlnm.Print_Area_8</vt:lpstr>
      <vt:lpstr>__xlnm.Print_Area_9</vt:lpstr>
      <vt:lpstr>Betriebskulturen</vt:lpstr>
      <vt:lpstr>Betrieb!Druckbereich</vt:lpstr>
      <vt:lpstr>Bodennah!Druckbereich</vt:lpstr>
      <vt:lpstr>Düngeplanung!Druckbereich</vt:lpstr>
      <vt:lpstr>'Dü-Verbote'!Druckbereich</vt:lpstr>
      <vt:lpstr>Ergebnis!Druckbereich</vt:lpstr>
      <vt:lpstr>Gütesiegel!Druckbereich</vt:lpstr>
      <vt:lpstr>Hofdung!Druckbereich</vt:lpstr>
      <vt:lpstr>Info!Druckbereich</vt:lpstr>
      <vt:lpstr>Mineral!Druckbereich</vt:lpstr>
      <vt:lpstr>N_Bedarf!Druckbereich</vt:lpstr>
      <vt:lpstr>Organ__Dü!Druckbereich</vt:lpstr>
      <vt:lpstr>Pfl_Schutz!Druckbereich</vt:lpstr>
      <vt:lpstr>Schw_Geflügel!Druckbereich</vt:lpstr>
      <vt:lpstr>'System I'!Druckbereich</vt:lpstr>
      <vt:lpstr>Tiere!Druckbereich</vt:lpstr>
      <vt:lpstr>Tierzahlen!Druckbereich</vt:lpstr>
      <vt:lpstr>Weideblatt!Druckbereich</vt:lpstr>
      <vt:lpstr>Liste_Ertrag</vt:lpstr>
      <vt:lpstr>Liste_GL_Kulturen</vt:lpstr>
      <vt:lpstr>Liste_Grünland</vt:lpstr>
      <vt:lpstr>Liste_ja</vt:lpstr>
      <vt:lpstr>Liste_K_Bedarf</vt:lpstr>
      <vt:lpstr>Liste_Kulturen</vt:lpstr>
      <vt:lpstr>Liste_MD</vt:lpstr>
      <vt:lpstr>Liste_N_Bedarf</vt:lpstr>
      <vt:lpstr>Liste_N_GL</vt:lpstr>
      <vt:lpstr>Liste_OD</vt:lpstr>
      <vt:lpstr>Liste_P_Bedarf</vt:lpstr>
      <vt:lpstr>Liste_WD</vt:lpstr>
      <vt:lpstr>Tierliste_neu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Recheis-Kienesberger Johannes</dc:creator>
  <cp:lastModifiedBy>rechjoh</cp:lastModifiedBy>
  <cp:revision>3</cp:revision>
  <cp:lastPrinted>2017-05-04T07:42:26Z</cp:lastPrinted>
  <dcterms:created xsi:type="dcterms:W3CDTF">2013-06-14T08:12:25Z</dcterms:created>
  <dcterms:modified xsi:type="dcterms:W3CDTF">2017-05-04T07:45:36Z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